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640" windowWidth="27840" windowHeight="17100" tabRatio="500" activeTab="0"/>
  </bookViews>
  <sheets>
    <sheet name="Simulateur adhérents" sheetId="1" r:id="rId1"/>
    <sheet name="Reconstitution TVA 2014 10% ton" sheetId="2" state="hidden" r:id="rId2"/>
    <sheet name="Reconstitution TVA 2014 10% ha " sheetId="3" state="hidden" r:id="rId3"/>
    <sheet name="Trajectoire TGAP UVE" sheetId="4" state="hidden" r:id="rId4"/>
    <sheet name="Trajectoire TGAP stockage" sheetId="5" state="hidden" r:id="rId5"/>
  </sheets>
  <definedNames/>
  <calcPr fullCalcOnLoad="1"/>
</workbook>
</file>

<file path=xl/sharedStrings.xml><?xml version="1.0" encoding="utf-8"?>
<sst xmlns="http://schemas.openxmlformats.org/spreadsheetml/2006/main" count="316" uniqueCount="145">
  <si>
    <t>Part TVA à taux réduit estimée</t>
  </si>
  <si>
    <t>Total TVA actuelle hors OMR</t>
  </si>
  <si>
    <t>Total TVA à taux réduit actuelle hors OMR</t>
  </si>
  <si>
    <t>Economie de TVA</t>
  </si>
  <si>
    <t>Assiette TVA</t>
  </si>
  <si>
    <t>TVA à payer si 5,5 %</t>
  </si>
  <si>
    <t>Vérif</t>
  </si>
  <si>
    <t>Stockage</t>
  </si>
  <si>
    <t>Total</t>
  </si>
  <si>
    <t>Si TVA 5,5%</t>
  </si>
  <si>
    <t>En estim part TVA 10% :</t>
  </si>
  <si>
    <t>Traitement</t>
  </si>
  <si>
    <t>Transfert/transport</t>
  </si>
  <si>
    <t>Pré-collecte et collecte</t>
  </si>
  <si>
    <t>Prévention</t>
  </si>
  <si>
    <t>Charges fonctionnelles</t>
  </si>
  <si>
    <t>% presta moyen :</t>
  </si>
  <si>
    <t>Ensembles des flux</t>
  </si>
  <si>
    <t>Autres =  DV au PAP + encombrants/assimilés en collecte dédiée…</t>
  </si>
  <si>
    <t>Autres déchets alim sans DV</t>
  </si>
  <si>
    <t>Déchèteries</t>
  </si>
  <si>
    <t>Verre</t>
  </si>
  <si>
    <t>RSOM hors verre</t>
  </si>
  <si>
    <t>OMR</t>
  </si>
  <si>
    <t>Calcul part TVA 2014 à 10% en M€</t>
  </si>
  <si>
    <t>Moyenne</t>
  </si>
  <si>
    <t>Autres</t>
  </si>
  <si>
    <t>Filière DDS enlevée</t>
  </si>
  <si>
    <t>Déchets dangereux</t>
  </si>
  <si>
    <t>DEEE</t>
  </si>
  <si>
    <t>dont DEA?</t>
  </si>
  <si>
    <t>matériaux recyclables</t>
  </si>
  <si>
    <t>Encombrants</t>
  </si>
  <si>
    <t>Déchets verts</t>
  </si>
  <si>
    <t>Gravats</t>
  </si>
  <si>
    <t>prix moyen par tonne cf. enquête BTP</t>
  </si>
  <si>
    <t>Traitement en presta privé</t>
  </si>
  <si>
    <t>Répartition déchets déchèterie :</t>
  </si>
  <si>
    <t>* enquête itom 2014</t>
  </si>
  <si>
    <t>Moyenne en presta sur OMR :</t>
  </si>
  <si>
    <t>Autre (dont TMB) :</t>
  </si>
  <si>
    <t>*enquête itom 2014</t>
  </si>
  <si>
    <t>UVE</t>
  </si>
  <si>
    <t>Taux TGAP moyen en € HT/tonne</t>
  </si>
  <si>
    <t>coût complet moyen*(medianes) en €/tonne :</t>
  </si>
  <si>
    <t>dont gestion 100% privée* :</t>
  </si>
  <si>
    <t>Répartition modes traitement OMR (en % tonnages)* :</t>
  </si>
  <si>
    <t>Cf. publi ADEME "collecte des déchets par SPGD en France - résultats 2011" - 44% des services OMR en régie (44% des tonnages) / 66% des déchèteries en régie (59% tonnages collectés)</t>
  </si>
  <si>
    <t>charges fonctionnelles = majoritairement charges perso + locaux admin -  la comm peut être en presta</t>
  </si>
  <si>
    <t>Estimation régie/presta en % presta</t>
  </si>
  <si>
    <t>Coût aidé HT</t>
  </si>
  <si>
    <t>Coût partagé</t>
  </si>
  <si>
    <t>Coût technique</t>
  </si>
  <si>
    <t>Coût complet</t>
  </si>
  <si>
    <t>hab</t>
  </si>
  <si>
    <t>coûts 2010</t>
  </si>
  <si>
    <t>Coûts 2012</t>
  </si>
  <si>
    <t>Reconstitution coûts 2014 en €/tonne par postes de charges</t>
  </si>
  <si>
    <t>Population nationale :</t>
  </si>
  <si>
    <t>Ensemble des flux</t>
  </si>
  <si>
    <t>Répartition coût complet cf. référentiel coûts données 2014</t>
  </si>
  <si>
    <t>% de la TVA sur coûts complets :</t>
  </si>
  <si>
    <t>de la TVA acquittée au taux réduit</t>
  </si>
  <si>
    <t>17,4 bio</t>
  </si>
  <si>
    <t>Perf de collecte 2015 en kg/hab/an</t>
  </si>
  <si>
    <t>correspond aux montant de TVA taux réduit et normal pour les non assujetis ou assujetis partiels</t>
  </si>
  <si>
    <t>TVA acquitée par coll (dont taux normal et réduit) :</t>
  </si>
  <si>
    <t>Coût aidé TTC</t>
  </si>
  <si>
    <t>Tonnages 2013 en MT</t>
  </si>
  <si>
    <t>Perf 2011 en kg/an/hab</t>
  </si>
  <si>
    <t>Coût technique HT</t>
  </si>
  <si>
    <t>Tonnages 2011 en MT</t>
  </si>
  <si>
    <t>Coût complet HT</t>
  </si>
  <si>
    <t>Perf 2009 en kg/an/hab</t>
  </si>
  <si>
    <t>Estimation référentiel coûts SPGD en M€</t>
  </si>
  <si>
    <t>Tonnages 2009 en MT</t>
  </si>
  <si>
    <t>Evolution des tonnages DMA collectés</t>
  </si>
  <si>
    <t>taux réduit</t>
  </si>
  <si>
    <t>taux normal sur achats/fournitures si régie, investissements</t>
  </si>
  <si>
    <t>Taux normal</t>
  </si>
  <si>
    <t>données référentiel des coûts ADEME (ne pas toucher)</t>
  </si>
  <si>
    <t>Taux de TVA</t>
  </si>
  <si>
    <t>Dans la matrice des coûts il  n'y a que les non assujetis à la TVA ou les assujettis partiels</t>
  </si>
  <si>
    <t>On se place donc ici en tant que collectivité ayant à minima la compétence collecte : si adhère à un syndicat de traitement incertitude sur TVA sur contributions au syndicat</t>
  </si>
  <si>
    <t>Reconstitution TVA taux réduit acquittée par les collectivité via données Matrices des coûts :</t>
  </si>
  <si>
    <t>MT en 2014</t>
  </si>
  <si>
    <t>baisse TVA :</t>
  </si>
  <si>
    <t>TVA taux réduit sur OMR</t>
  </si>
  <si>
    <t>Estimation part taux réduit</t>
  </si>
  <si>
    <t>TGAP comprise ? Et TVA sur TGAP ?</t>
  </si>
  <si>
    <t>Calcul part TVA réduite 2014 à 10% en €/tonne</t>
  </si>
  <si>
    <t>Tonnages 2014 en MT</t>
  </si>
  <si>
    <t>Tonnages 2015 en MT</t>
  </si>
  <si>
    <t>TOTAL</t>
  </si>
  <si>
    <t>traitement thermique</t>
  </si>
  <si>
    <t>stockage</t>
  </si>
  <si>
    <t>année</t>
  </si>
  <si>
    <t>estimation TGAP DMA en millions d'euros</t>
  </si>
  <si>
    <t>part tonnage provenant ménages/collectivités*</t>
  </si>
  <si>
    <t>TGAP globale en millions d'euros</t>
  </si>
  <si>
    <t>Estimation TGAP observatoire coûts</t>
  </si>
  <si>
    <t>Part TVA  sur OMR</t>
  </si>
  <si>
    <t>en% des tonnages</t>
  </si>
  <si>
    <t>Calcul part TVA réduite 2014 à 10% en €/hab</t>
  </si>
  <si>
    <t>Répartition modes traitement OMR (en tonnages)* :</t>
  </si>
  <si>
    <t>revente matériauxtaux normal</t>
  </si>
  <si>
    <t>part TVA 10% hors OMR</t>
  </si>
  <si>
    <t>Reconstitution coûts 2014 en €/hab par postes de charges</t>
  </si>
  <si>
    <t>Valorisation énergétique</t>
  </si>
  <si>
    <t>Taux de TGAP en 2018</t>
  </si>
  <si>
    <t>Taux de TGAP prévisionnel en 2025</t>
  </si>
  <si>
    <t>Réfaction(s) obtenue(s) par l'installation</t>
  </si>
  <si>
    <t>Valorisation énergétique élevée</t>
  </si>
  <si>
    <t>Certification ISO 14001 et/ou ISO 50001</t>
  </si>
  <si>
    <t>Faibles émissions de NOX</t>
  </si>
  <si>
    <t>certification ISO + faibles émissions de NOX</t>
  </si>
  <si>
    <t>Certification + valorisation énergétique élevée</t>
  </si>
  <si>
    <t>Faibles émissions de NOX + valorisation énergétique élevée</t>
  </si>
  <si>
    <t>Les 3 : ISO, NOX et valorisation énergétique élevée</t>
  </si>
  <si>
    <t>Autre</t>
  </si>
  <si>
    <t>Total déchets incinérés</t>
  </si>
  <si>
    <t>TGAP payé en 2018 (en €)</t>
  </si>
  <si>
    <t xml:space="preserve">Nombre d'habitants </t>
  </si>
  <si>
    <t>Valorisation de plus de 75 % du biogaz</t>
  </si>
  <si>
    <t>Total déchets stockés</t>
  </si>
  <si>
    <t>Exploitation en bioréacteur</t>
  </si>
  <si>
    <t>Valorisation du biogaz + bioréacteur</t>
  </si>
  <si>
    <t>Tonnage incinéré en 2018 (en t)</t>
  </si>
  <si>
    <t>Tonnage stocké en 2018 (en t)</t>
  </si>
  <si>
    <t>TGAP à payer</t>
  </si>
  <si>
    <t xml:space="preserve">Si tonnage de déchets constants : </t>
  </si>
  <si>
    <t>TGAP payé en 2018 (en €/habitant)</t>
  </si>
  <si>
    <t>Diminution des tonnages stockés (en %)</t>
  </si>
  <si>
    <t>Diminution des tonnages incinérés (en %)</t>
  </si>
  <si>
    <t>TGAP à payer en 2025 à tonnages constants</t>
  </si>
  <si>
    <t>Tonnage stocké prévisionnel à l'horizon 2025</t>
  </si>
  <si>
    <t>Tonnage incinéré prévisionnel à l'horizon 2025</t>
  </si>
  <si>
    <t xml:space="preserve">Par hypothèse, la part de TVA à qui va être concernée par la réduction de 10 à 5,5% est estimée à 60-70 % de la TVA globale payée (hors OMR). </t>
  </si>
  <si>
    <t>Seules les cases jaunes sont à remplir. Les principaux résultats s'affichent dans les cases rouges</t>
  </si>
  <si>
    <t>La part concernée par la réduction à 5,5 % porte uniquement sur la collecte séparée, les prestations prévention PLPDMA, le tri DMA, la valorisation matière DMA et le compostage de proximité.</t>
  </si>
  <si>
    <t>Si diminution des tonnages à l'horizon 2025 :</t>
  </si>
  <si>
    <t>Fiscalité 2025 à tonnages constants (TGAP - économie TVA 5,5%)- en €</t>
  </si>
  <si>
    <t>Fiscalité 2025 à tonnages constants (TGAP - économie TVA 5,5%)-  €/habitant</t>
  </si>
  <si>
    <t>Fiscalité 2025 avec diminution des tonnages (TGAP - économie TVA 5,5%)- en €</t>
  </si>
  <si>
    <t>Fiscalité 2025 avec diminution des tonnages (TGAP - économie TVA 5,5%)-  €/habitant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</si>
</sst>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_ * #,##0_)\ _€_ ;_ * \(#,##0\)\ _€_ ;_ * &quot;-&quot;??_)\ _€_ ;_ @_ "/>
    <numFmt numFmtId="166" formatCode="_ * #,##0.0_)\ _€_ ;_ * \(#,##0.0\)\ _€_ ;_ * &quot;-&quot;??_)\ _€_ ;_ @_ "/>
    <numFmt numFmtId="167" formatCode="0.0%"/>
  </numFmts>
  <fonts count="73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2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3"/>
      <name val="Calibri"/>
      <family val="2"/>
    </font>
    <font>
      <b/>
      <i/>
      <sz val="12"/>
      <color indexed="8"/>
      <name val="Calibri"/>
      <family val="2"/>
    </font>
    <font>
      <i/>
      <sz val="12"/>
      <color indexed="53"/>
      <name val="Calibri"/>
      <family val="2"/>
    </font>
    <font>
      <sz val="12"/>
      <color indexed="53"/>
      <name val="Calibri"/>
      <family val="2"/>
    </font>
    <font>
      <sz val="12"/>
      <color indexed="60"/>
      <name val="Calibri"/>
      <family val="2"/>
    </font>
    <font>
      <i/>
      <sz val="12"/>
      <color indexed="3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9"/>
      <name val="Calibri"/>
      <family val="2"/>
    </font>
    <font>
      <b/>
      <sz val="16"/>
      <color indexed="10"/>
      <name val="Calibri"/>
      <family val="2"/>
    </font>
    <font>
      <b/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theme="9"/>
      <name val="Calibri"/>
      <family val="2"/>
    </font>
    <font>
      <b/>
      <i/>
      <sz val="12"/>
      <color theme="1"/>
      <name val="Calibri"/>
      <family val="2"/>
    </font>
    <font>
      <i/>
      <sz val="12"/>
      <color theme="9" tint="-0.24997000396251678"/>
      <name val="Calibri"/>
      <family val="2"/>
    </font>
    <font>
      <sz val="12"/>
      <color theme="9" tint="-0.24997000396251678"/>
      <name val="Calibri"/>
      <family val="2"/>
    </font>
    <font>
      <sz val="12"/>
      <color theme="5" tint="-0.24997000396251678"/>
      <name val="Calibri"/>
      <family val="2"/>
    </font>
    <font>
      <i/>
      <sz val="12"/>
      <color theme="5"/>
      <name val="Calibri"/>
      <family val="2"/>
    </font>
    <font>
      <i/>
      <sz val="12"/>
      <color rgb="FF0070C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FF000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9" fontId="0" fillId="33" borderId="10" xfId="5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Border="1" applyAlignment="1">
      <alignment/>
    </xf>
    <xf numFmtId="165" fontId="0" fillId="0" borderId="0" xfId="44" applyNumberFormat="1" applyFont="1" applyAlignment="1">
      <alignment/>
    </xf>
    <xf numFmtId="0" fontId="56" fillId="0" borderId="0" xfId="0" applyFont="1" applyAlignment="1">
      <alignment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53" fillId="0" borderId="0" xfId="0" applyFont="1" applyBorder="1" applyAlignment="1">
      <alignment/>
    </xf>
    <xf numFmtId="9" fontId="0" fillId="33" borderId="0" xfId="5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44" applyNumberFormat="1" applyFont="1" applyBorder="1" applyAlignment="1">
      <alignment/>
    </xf>
    <xf numFmtId="165" fontId="53" fillId="0" borderId="10" xfId="44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8" fillId="0" borderId="0" xfId="0" applyNumberFormat="1" applyFont="1" applyAlignment="1">
      <alignment/>
    </xf>
    <xf numFmtId="0" fontId="0" fillId="0" borderId="0" xfId="0" applyAlignment="1">
      <alignment wrapText="1"/>
    </xf>
    <xf numFmtId="9" fontId="0" fillId="0" borderId="0" xfId="50" applyFont="1" applyAlignment="1">
      <alignment/>
    </xf>
    <xf numFmtId="0" fontId="40" fillId="0" borderId="0" xfId="0" applyFont="1" applyAlignment="1">
      <alignment/>
    </xf>
    <xf numFmtId="164" fontId="53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59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60" fillId="0" borderId="0" xfId="0" applyFont="1" applyAlignment="1">
      <alignment/>
    </xf>
    <xf numFmtId="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67" fontId="58" fillId="0" borderId="0" xfId="0" applyNumberFormat="1" applyFont="1" applyAlignment="1">
      <alignment horizontal="center"/>
    </xf>
    <xf numFmtId="2" fontId="59" fillId="0" borderId="0" xfId="0" applyNumberFormat="1" applyFont="1" applyAlignment="1">
      <alignment/>
    </xf>
    <xf numFmtId="0" fontId="59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7" fontId="40" fillId="0" borderId="0" xfId="0" applyNumberFormat="1" applyFont="1" applyAlignment="1">
      <alignment horizontal="center"/>
    </xf>
    <xf numFmtId="167" fontId="58" fillId="0" borderId="0" xfId="50" applyNumberFormat="1" applyFont="1" applyAlignment="1">
      <alignment/>
    </xf>
    <xf numFmtId="2" fontId="60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167" fontId="53" fillId="0" borderId="0" xfId="50" applyNumberFormat="1" applyFont="1" applyAlignment="1">
      <alignment/>
    </xf>
    <xf numFmtId="167" fontId="0" fillId="0" borderId="0" xfId="0" applyNumberFormat="1" applyAlignment="1">
      <alignment horizontal="center"/>
    </xf>
    <xf numFmtId="9" fontId="0" fillId="0" borderId="0" xfId="0" applyNumberFormat="1" applyFont="1" applyAlignment="1">
      <alignment horizontal="center"/>
    </xf>
    <xf numFmtId="9" fontId="40" fillId="3" borderId="0" xfId="0" applyNumberFormat="1" applyFont="1" applyFill="1" applyAlignment="1">
      <alignment/>
    </xf>
    <xf numFmtId="9" fontId="40" fillId="3" borderId="0" xfId="0" applyNumberFormat="1" applyFont="1" applyFill="1" applyAlignment="1">
      <alignment horizontal="center"/>
    </xf>
    <xf numFmtId="9" fontId="0" fillId="3" borderId="0" xfId="0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9" fontId="53" fillId="3" borderId="0" xfId="0" applyNumberFormat="1" applyFont="1" applyFill="1" applyAlignment="1">
      <alignment horizontal="center"/>
    </xf>
    <xf numFmtId="9" fontId="58" fillId="3" borderId="0" xfId="0" applyNumberFormat="1" applyFont="1" applyFill="1" applyAlignment="1">
      <alignment horizontal="center"/>
    </xf>
    <xf numFmtId="9" fontId="61" fillId="3" borderId="0" xfId="0" applyNumberFormat="1" applyFont="1" applyFill="1" applyAlignment="1">
      <alignment horizontal="center"/>
    </xf>
    <xf numFmtId="9" fontId="62" fillId="3" borderId="0" xfId="0" applyNumberFormat="1" applyFont="1" applyFill="1" applyAlignment="1">
      <alignment horizontal="center"/>
    </xf>
    <xf numFmtId="0" fontId="53" fillId="7" borderId="0" xfId="0" applyFont="1" applyFill="1" applyAlignment="1">
      <alignment/>
    </xf>
    <xf numFmtId="1" fontId="58" fillId="0" borderId="0" xfId="0" applyNumberFormat="1" applyFont="1" applyAlignment="1">
      <alignment horizontal="left"/>
    </xf>
    <xf numFmtId="164" fontId="58" fillId="34" borderId="0" xfId="0" applyNumberFormat="1" applyFont="1" applyFill="1" applyAlignment="1">
      <alignment/>
    </xf>
    <xf numFmtId="164" fontId="58" fillId="7" borderId="0" xfId="0" applyNumberFormat="1" applyFont="1" applyFill="1" applyAlignment="1">
      <alignment/>
    </xf>
    <xf numFmtId="164" fontId="58" fillId="0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9" fontId="60" fillId="0" borderId="0" xfId="0" applyNumberFormat="1" applyFont="1" applyAlignment="1">
      <alignment horizontal="center" vertical="center"/>
    </xf>
    <xf numFmtId="9" fontId="60" fillId="0" borderId="0" xfId="0" applyNumberFormat="1" applyFont="1" applyAlignment="1">
      <alignment/>
    </xf>
    <xf numFmtId="9" fontId="53" fillId="7" borderId="0" xfId="0" applyNumberFormat="1" applyFont="1" applyFill="1" applyAlignment="1">
      <alignment horizontal="center"/>
    </xf>
    <xf numFmtId="9" fontId="0" fillId="7" borderId="0" xfId="0" applyNumberFormat="1" applyFill="1" applyAlignment="1">
      <alignment/>
    </xf>
    <xf numFmtId="9" fontId="63" fillId="7" borderId="0" xfId="0" applyNumberFormat="1" applyFont="1" applyFill="1" applyAlignment="1">
      <alignment/>
    </xf>
    <xf numFmtId="3" fontId="64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7" fontId="53" fillId="0" borderId="0" xfId="5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2" fontId="60" fillId="34" borderId="0" xfId="0" applyNumberFormat="1" applyFont="1" applyFill="1" applyAlignment="1">
      <alignment horizontal="center"/>
    </xf>
    <xf numFmtId="0" fontId="60" fillId="0" borderId="0" xfId="0" applyFont="1" applyAlignment="1">
      <alignment wrapText="1"/>
    </xf>
    <xf numFmtId="9" fontId="53" fillId="33" borderId="11" xfId="0" applyNumberFormat="1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2" fontId="53" fillId="34" borderId="13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wrapText="1"/>
    </xf>
    <xf numFmtId="9" fontId="58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2" fontId="65" fillId="7" borderId="0" xfId="0" applyNumberFormat="1" applyFont="1" applyFill="1" applyAlignment="1">
      <alignment horizontal="center"/>
    </xf>
    <xf numFmtId="0" fontId="65" fillId="7" borderId="0" xfId="0" applyFont="1" applyFill="1" applyAlignment="1">
      <alignment horizontal="center"/>
    </xf>
    <xf numFmtId="0" fontId="65" fillId="7" borderId="0" xfId="0" applyFont="1" applyFill="1" applyAlignment="1">
      <alignment horizontal="center" wrapText="1"/>
    </xf>
    <xf numFmtId="0" fontId="65" fillId="0" borderId="0" xfId="0" applyFont="1" applyAlignment="1">
      <alignment wrapText="1"/>
    </xf>
    <xf numFmtId="0" fontId="0" fillId="0" borderId="0" xfId="0" applyAlignment="1">
      <alignment horizontal="left"/>
    </xf>
    <xf numFmtId="2" fontId="58" fillId="34" borderId="0" xfId="0" applyNumberFormat="1" applyFont="1" applyFill="1" applyAlignment="1">
      <alignment horizontal="center"/>
    </xf>
    <xf numFmtId="2" fontId="58" fillId="7" borderId="0" xfId="0" applyNumberFormat="1" applyFont="1" applyFill="1" applyAlignment="1">
      <alignment horizontal="center"/>
    </xf>
    <xf numFmtId="0" fontId="58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0" fillId="0" borderId="0" xfId="0" applyFont="1" applyAlignment="1">
      <alignment horizontal="left"/>
    </xf>
    <xf numFmtId="167" fontId="53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66" fillId="7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2" fontId="53" fillId="7" borderId="0" xfId="0" applyNumberFormat="1" applyFont="1" applyFill="1" applyAlignment="1">
      <alignment/>
    </xf>
    <xf numFmtId="9" fontId="53" fillId="35" borderId="11" xfId="50" applyFont="1" applyFill="1" applyBorder="1" applyAlignment="1">
      <alignment/>
    </xf>
    <xf numFmtId="0" fontId="57" fillId="0" borderId="0" xfId="0" applyFont="1" applyAlignment="1">
      <alignment horizontal="center"/>
    </xf>
    <xf numFmtId="0" fontId="68" fillId="0" borderId="15" xfId="0" applyFont="1" applyBorder="1" applyAlignment="1">
      <alignment horizontal="justify" vertical="center"/>
    </xf>
    <xf numFmtId="9" fontId="68" fillId="0" borderId="15" xfId="0" applyNumberFormat="1" applyFont="1" applyBorder="1" applyAlignment="1">
      <alignment horizontal="justify" vertical="center"/>
    </xf>
    <xf numFmtId="0" fontId="68" fillId="0" borderId="16" xfId="0" applyFont="1" applyBorder="1" applyAlignment="1">
      <alignment horizontal="justify" vertical="center"/>
    </xf>
    <xf numFmtId="0" fontId="69" fillId="0" borderId="15" xfId="0" applyFont="1" applyBorder="1" applyAlignment="1">
      <alignment horizontal="justify" vertical="center"/>
    </xf>
    <xf numFmtId="0" fontId="70" fillId="0" borderId="16" xfId="0" applyFont="1" applyBorder="1" applyAlignment="1">
      <alignment horizontal="justify" vertical="center"/>
    </xf>
    <xf numFmtId="0" fontId="69" fillId="0" borderId="11" xfId="0" applyFont="1" applyBorder="1" applyAlignment="1">
      <alignment horizontal="justify" vertical="center"/>
    </xf>
    <xf numFmtId="167" fontId="58" fillId="0" borderId="0" xfId="0" applyNumberFormat="1" applyFont="1" applyAlignment="1">
      <alignment/>
    </xf>
    <xf numFmtId="9" fontId="0" fillId="3" borderId="0" xfId="0" applyNumberFormat="1" applyFill="1" applyAlignment="1">
      <alignment/>
    </xf>
    <xf numFmtId="167" fontId="0" fillId="0" borderId="0" xfId="50" applyNumberFormat="1" applyFont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60" fillId="7" borderId="0" xfId="0" applyFont="1" applyFill="1" applyAlignment="1">
      <alignment/>
    </xf>
    <xf numFmtId="0" fontId="60" fillId="7" borderId="0" xfId="0" applyFont="1" applyFill="1" applyAlignment="1">
      <alignment horizontal="center"/>
    </xf>
    <xf numFmtId="0" fontId="60" fillId="7" borderId="0" xfId="0" applyFont="1" applyFill="1" applyAlignment="1">
      <alignment horizontal="center" wrapText="1"/>
    </xf>
    <xf numFmtId="0" fontId="53" fillId="0" borderId="0" xfId="0" applyFont="1" applyAlignment="1">
      <alignment horizontal="left"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1" fontId="0" fillId="0" borderId="10" xfId="0" applyNumberFormat="1" applyBorder="1" applyAlignment="1">
      <alignment/>
    </xf>
    <xf numFmtId="165" fontId="0" fillId="33" borderId="0" xfId="44" applyNumberFormat="1" applyFont="1" applyFill="1" applyBorder="1" applyAlignment="1">
      <alignment/>
    </xf>
    <xf numFmtId="0" fontId="39" fillId="37" borderId="10" xfId="0" applyFont="1" applyFill="1" applyBorder="1" applyAlignment="1">
      <alignment/>
    </xf>
    <xf numFmtId="0" fontId="39" fillId="37" borderId="10" xfId="0" applyFont="1" applyFill="1" applyBorder="1" applyAlignment="1">
      <alignment wrapText="1"/>
    </xf>
    <xf numFmtId="165" fontId="0" fillId="33" borderId="10" xfId="44" applyNumberFormat="1" applyFont="1" applyFill="1" applyBorder="1" applyAlignment="1">
      <alignment/>
    </xf>
    <xf numFmtId="165" fontId="0" fillId="36" borderId="0" xfId="44" applyNumberFormat="1" applyFont="1" applyFill="1" applyAlignment="1">
      <alignment/>
    </xf>
    <xf numFmtId="166" fontId="39" fillId="37" borderId="10" xfId="44" applyNumberFormat="1" applyFont="1" applyFill="1" applyBorder="1" applyAlignment="1">
      <alignment/>
    </xf>
    <xf numFmtId="165" fontId="39" fillId="37" borderId="10" xfId="44" applyNumberFormat="1" applyFont="1" applyFill="1" applyBorder="1" applyAlignment="1">
      <alignment/>
    </xf>
    <xf numFmtId="0" fontId="71" fillId="0" borderId="0" xfId="0" applyFont="1" applyAlignment="1">
      <alignment/>
    </xf>
    <xf numFmtId="165" fontId="39" fillId="37" borderId="10" xfId="0" applyNumberFormat="1" applyFont="1" applyFill="1" applyBorder="1" applyAlignment="1">
      <alignment/>
    </xf>
    <xf numFmtId="166" fontId="39" fillId="37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53" fillId="0" borderId="10" xfId="0" applyNumberFormat="1" applyFont="1" applyBorder="1" applyAlignment="1">
      <alignment/>
    </xf>
    <xf numFmtId="0" fontId="72" fillId="36" borderId="0" xfId="0" applyFont="1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8" fillId="0" borderId="14" xfId="0" applyFont="1" applyBorder="1" applyAlignment="1">
      <alignment horizontal="justify" vertical="center"/>
    </xf>
    <xf numFmtId="0" fontId="68" fillId="0" borderId="17" xfId="0" applyFont="1" applyBorder="1" applyAlignment="1">
      <alignment horizontal="justify" vertical="center"/>
    </xf>
    <xf numFmtId="0" fontId="68" fillId="0" borderId="18" xfId="0" applyFont="1" applyBorder="1" applyAlignment="1">
      <alignment horizontal="justify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075"/>
          <c:w val="0.613"/>
          <c:h val="0.94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2"/>
          <c:order val="2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4"/>
          <c:order val="4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5"/>
          <c:order val="5"/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6"/>
          <c:order val="6"/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7"/>
          <c:order val="7"/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8"/>
          <c:order val="8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9"/>
          <c:order val="9"/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0"/>
          <c:order val="10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1"/>
          <c:order val="11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marker val="1"/>
        <c:axId val="63882606"/>
        <c:axId val="38072543"/>
      </c:line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2543"/>
        <c:crosses val="autoZero"/>
        <c:auto val="1"/>
        <c:lblOffset val="100"/>
        <c:tickLblSkip val="1"/>
        <c:noMultiLvlLbl val="0"/>
      </c:catAx>
      <c:valAx>
        <c:axId val="38072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2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3045"/>
          <c:w val="0.08975"/>
          <c:h val="0.3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Trajectoire TGAP Stockage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545"/>
          <c:w val="0.882"/>
          <c:h val="0.93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"/>
          <c:order val="1"/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2"/>
          <c:order val="2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4"/>
          <c:order val="4"/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FF6600"/>
              </a:solidFill>
              <a:ln>
                <a:solidFill>
                  <a:srgbClr val="FF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5"/>
          <c:order val="5"/>
          <c:spPr>
            <a:ln w="381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6"/>
          <c:order val="6"/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7"/>
          <c:order val="7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8"/>
          <c:order val="8"/>
          <c:spPr>
            <a:ln w="38100">
              <a:solidFill>
                <a:srgbClr val="3333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9"/>
          <c:order val="9"/>
          <c:spPr>
            <a:ln w="38100">
              <a:solidFill>
                <a:srgbClr val="96969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0"/>
          <c:order val="10"/>
          <c:spPr>
            <a:ln w="381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ser>
          <c:idx val="11"/>
          <c:order val="11"/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smooth val="0"/>
        </c:ser>
        <c:marker val="1"/>
        <c:axId val="7108568"/>
        <c:axId val="63977113"/>
      </c:lineChart>
      <c:catAx>
        <c:axId val="710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77113"/>
        <c:crosses val="autoZero"/>
        <c:auto val="1"/>
        <c:lblOffset val="100"/>
        <c:tickLblSkip val="1"/>
        <c:noMultiLvlLbl val="0"/>
      </c:catAx>
      <c:valAx>
        <c:axId val="63977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0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0575"/>
          <c:w val="0.31975"/>
          <c:h val="0.8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114300</xdr:rowOff>
    </xdr:from>
    <xdr:to>
      <xdr:col>13</xdr:col>
      <xdr:colOff>666750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2867025" y="514350"/>
        <a:ext cx="86963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85725</xdr:rowOff>
    </xdr:from>
    <xdr:to>
      <xdr:col>16</xdr:col>
      <xdr:colOff>666750</xdr:colOff>
      <xdr:row>44</xdr:row>
      <xdr:rowOff>85725</xdr:rowOff>
    </xdr:to>
    <xdr:graphicFrame>
      <xdr:nvGraphicFramePr>
        <xdr:cNvPr id="1" name="Graphique 1"/>
        <xdr:cNvGraphicFramePr/>
      </xdr:nvGraphicFramePr>
      <xdr:xfrm>
        <a:off x="647700" y="85725"/>
        <a:ext cx="13430250" cy="880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1">
      <selection activeCell="D51" sqref="D51"/>
    </sheetView>
  </sheetViews>
  <sheetFormatPr defaultColWidth="11.00390625" defaultRowHeight="15.75"/>
  <cols>
    <col min="2" max="2" width="63.125" style="0" customWidth="1"/>
    <col min="3" max="3" width="28.00390625" style="0" bestFit="1" customWidth="1"/>
    <col min="4" max="4" width="19.625" style="0" bestFit="1" customWidth="1"/>
    <col min="5" max="5" width="30.375" style="0" bestFit="1" customWidth="1"/>
  </cols>
  <sheetData>
    <row r="1" ht="21">
      <c r="B1" s="130" t="s">
        <v>138</v>
      </c>
    </row>
    <row r="3" spans="2:3" ht="15.75">
      <c r="B3" s="7" t="s">
        <v>122</v>
      </c>
      <c r="C3" s="126"/>
    </row>
    <row r="5" spans="1:6" ht="18.75">
      <c r="A5" s="121"/>
      <c r="B5" s="135" t="s">
        <v>7</v>
      </c>
      <c r="C5" s="121"/>
      <c r="D5" s="120"/>
      <c r="E5" s="121"/>
      <c r="F5" s="121"/>
    </row>
    <row r="7" spans="2:5" ht="15.75">
      <c r="B7" s="7" t="s">
        <v>111</v>
      </c>
      <c r="C7" s="7" t="s">
        <v>128</v>
      </c>
      <c r="D7" s="7" t="s">
        <v>109</v>
      </c>
      <c r="E7" s="7" t="s">
        <v>110</v>
      </c>
    </row>
    <row r="8" spans="2:5" ht="15.75">
      <c r="B8" s="1" t="s">
        <v>123</v>
      </c>
      <c r="C8" s="126"/>
      <c r="D8" s="122">
        <v>24</v>
      </c>
      <c r="E8" s="1">
        <v>65</v>
      </c>
    </row>
    <row r="9" spans="2:5" ht="15.75">
      <c r="B9" s="1" t="s">
        <v>125</v>
      </c>
      <c r="C9" s="126"/>
      <c r="D9" s="122">
        <v>33</v>
      </c>
      <c r="E9" s="1">
        <v>65</v>
      </c>
    </row>
    <row r="10" spans="2:5" ht="15.75">
      <c r="B10" s="1" t="s">
        <v>126</v>
      </c>
      <c r="C10" s="126"/>
      <c r="D10" s="122">
        <v>16</v>
      </c>
      <c r="E10" s="1">
        <v>65</v>
      </c>
    </row>
    <row r="11" spans="2:5" ht="15.75">
      <c r="B11" s="1" t="s">
        <v>119</v>
      </c>
      <c r="C11" s="126"/>
      <c r="D11" s="122">
        <v>41</v>
      </c>
      <c r="E11" s="1">
        <v>65</v>
      </c>
    </row>
    <row r="12" spans="2:5" ht="15.75">
      <c r="B12" s="4" t="s">
        <v>124</v>
      </c>
      <c r="C12" s="17">
        <f>SUM(C8:C11)</f>
        <v>0</v>
      </c>
      <c r="D12" s="1"/>
      <c r="E12" s="1"/>
    </row>
    <row r="13" spans="2:5" ht="15.75">
      <c r="B13" s="6"/>
      <c r="C13" s="13"/>
      <c r="D13" s="12"/>
      <c r="E13" s="12"/>
    </row>
    <row r="14" spans="1:6" ht="18.75">
      <c r="A14" s="121"/>
      <c r="B14" s="135" t="s">
        <v>108</v>
      </c>
      <c r="C14" s="127"/>
      <c r="D14" s="120"/>
      <c r="E14" s="121"/>
      <c r="F14" s="121"/>
    </row>
    <row r="15" ht="15.75">
      <c r="C15" s="8"/>
    </row>
    <row r="16" spans="2:5" ht="15.75">
      <c r="B16" s="7" t="s">
        <v>111</v>
      </c>
      <c r="C16" s="18" t="s">
        <v>127</v>
      </c>
      <c r="D16" s="7" t="s">
        <v>109</v>
      </c>
      <c r="E16" s="7" t="s">
        <v>110</v>
      </c>
    </row>
    <row r="17" spans="2:5" ht="15.75">
      <c r="B17" s="1" t="s">
        <v>113</v>
      </c>
      <c r="C17" s="126"/>
      <c r="D17" s="122">
        <v>12.02</v>
      </c>
      <c r="E17" s="1">
        <v>25</v>
      </c>
    </row>
    <row r="18" spans="2:5" ht="15.75">
      <c r="B18" s="1" t="s">
        <v>114</v>
      </c>
      <c r="C18" s="126"/>
      <c r="D18" s="122">
        <v>12.02</v>
      </c>
      <c r="E18" s="1">
        <v>25</v>
      </c>
    </row>
    <row r="19" spans="2:5" ht="15.75">
      <c r="B19" s="1" t="s">
        <v>112</v>
      </c>
      <c r="C19" s="126"/>
      <c r="D19" s="122">
        <v>9.02</v>
      </c>
      <c r="E19" s="1">
        <v>15</v>
      </c>
    </row>
    <row r="20" spans="2:5" ht="15.75">
      <c r="B20" s="1" t="s">
        <v>115</v>
      </c>
      <c r="C20" s="126"/>
      <c r="D20" s="122">
        <v>9.02</v>
      </c>
      <c r="E20" s="1">
        <v>25</v>
      </c>
    </row>
    <row r="21" spans="2:5" ht="15.75">
      <c r="B21" s="1" t="s">
        <v>116</v>
      </c>
      <c r="C21" s="123"/>
      <c r="D21" s="122">
        <v>6.01</v>
      </c>
      <c r="E21" s="1">
        <v>15</v>
      </c>
    </row>
    <row r="22" spans="2:5" ht="15.75">
      <c r="B22" s="1" t="s">
        <v>117</v>
      </c>
      <c r="C22" s="126"/>
      <c r="D22" s="122">
        <v>5.01</v>
      </c>
      <c r="E22" s="1">
        <v>15</v>
      </c>
    </row>
    <row r="23" spans="2:5" ht="16.5">
      <c r="B23" s="2" t="s">
        <v>118</v>
      </c>
      <c r="C23" s="126"/>
      <c r="D23" s="122">
        <v>3.01</v>
      </c>
      <c r="E23" s="1">
        <v>15</v>
      </c>
    </row>
    <row r="24" spans="2:5" ht="15.75">
      <c r="B24" s="1" t="s">
        <v>119</v>
      </c>
      <c r="C24" s="126"/>
      <c r="D24" s="122">
        <v>15.03</v>
      </c>
      <c r="E24" s="1">
        <v>25</v>
      </c>
    </row>
    <row r="25" spans="2:5" ht="15.75">
      <c r="B25" s="4" t="s">
        <v>120</v>
      </c>
      <c r="C25" s="17">
        <f>SUM(C17:C24)</f>
        <v>0</v>
      </c>
      <c r="D25" s="1"/>
      <c r="E25" s="1"/>
    </row>
    <row r="27" spans="1:6" ht="18.75">
      <c r="A27" s="121"/>
      <c r="B27" s="135" t="s">
        <v>3</v>
      </c>
      <c r="C27" s="121"/>
      <c r="D27" s="120"/>
      <c r="E27" s="121"/>
      <c r="F27" s="121"/>
    </row>
    <row r="29" spans="2:3" ht="15.75">
      <c r="B29" s="1" t="s">
        <v>1</v>
      </c>
      <c r="C29" s="126"/>
    </row>
    <row r="30" spans="2:6" ht="15.75">
      <c r="B30" s="1" t="s">
        <v>2</v>
      </c>
      <c r="C30" s="133">
        <f>C29*F30</f>
        <v>0</v>
      </c>
      <c r="E30" s="14" t="s">
        <v>0</v>
      </c>
      <c r="F30" s="15">
        <v>0.7</v>
      </c>
    </row>
    <row r="31" spans="2:7" ht="45.75" customHeight="1">
      <c r="B31" s="1" t="s">
        <v>4</v>
      </c>
      <c r="C31" s="133">
        <f>C30*10</f>
        <v>0</v>
      </c>
      <c r="E31" s="136" t="s">
        <v>137</v>
      </c>
      <c r="F31" s="136"/>
      <c r="G31" s="136"/>
    </row>
    <row r="32" spans="2:7" ht="63.75" customHeight="1">
      <c r="B32" s="1" t="s">
        <v>5</v>
      </c>
      <c r="C32" s="133">
        <f>C31*5.5%</f>
        <v>0</v>
      </c>
      <c r="E32" s="137" t="s">
        <v>139</v>
      </c>
      <c r="F32" s="137"/>
      <c r="G32" s="137"/>
    </row>
    <row r="33" spans="2:4" ht="15.75">
      <c r="B33" s="7" t="s">
        <v>3</v>
      </c>
      <c r="C33" s="134">
        <f>C30-C32</f>
        <v>0</v>
      </c>
      <c r="D33" s="16"/>
    </row>
    <row r="35" spans="1:6" ht="18.75">
      <c r="A35" s="121"/>
      <c r="B35" s="135" t="s">
        <v>129</v>
      </c>
      <c r="C35" s="121"/>
      <c r="D35" s="120"/>
      <c r="E35" s="121"/>
      <c r="F35" s="121"/>
    </row>
    <row r="37" spans="2:3" ht="15.75">
      <c r="B37" s="124" t="s">
        <v>121</v>
      </c>
      <c r="C37" s="129">
        <f>C17*D17+C18*D18+C19*D19+C20*D20+C21*D21+C22*D22+C23*D23+C24*D24+C8*D8+C9*D9+C10*D10+C11*D11</f>
        <v>0</v>
      </c>
    </row>
    <row r="38" spans="2:3" ht="15.75">
      <c r="B38" s="124" t="s">
        <v>131</v>
      </c>
      <c r="C38" s="128" t="e">
        <f>C37/C3</f>
        <v>#DIV/0!</v>
      </c>
    </row>
    <row r="40" ht="18.75">
      <c r="B40" s="101" t="s">
        <v>130</v>
      </c>
    </row>
    <row r="41" spans="2:3" ht="15.75">
      <c r="B41" s="1" t="s">
        <v>134</v>
      </c>
      <c r="C41" s="17">
        <f>C17*E17+C18*E18+C19*E19+C20*E20+C21*E21+C22*E22+C23*E23+C24*E24+C8*E8+C9*E9+C10*E10+C11*E11</f>
        <v>0</v>
      </c>
    </row>
    <row r="42" spans="2:3" ht="15.75">
      <c r="B42" s="124" t="s">
        <v>141</v>
      </c>
      <c r="C42" s="131">
        <f>C41-C33</f>
        <v>0</v>
      </c>
    </row>
    <row r="43" spans="2:3" ht="33.75">
      <c r="B43" s="125" t="s">
        <v>142</v>
      </c>
      <c r="C43" s="132" t="e">
        <f>C42/C3</f>
        <v>#DIV/0!</v>
      </c>
    </row>
    <row r="45" ht="18.75">
      <c r="B45" s="101" t="s">
        <v>140</v>
      </c>
    </row>
    <row r="46" spans="2:5" ht="15.75">
      <c r="B46" s="1" t="s">
        <v>132</v>
      </c>
      <c r="C46" s="5">
        <v>0.5</v>
      </c>
      <c r="E46" s="16"/>
    </row>
    <row r="47" spans="2:3" ht="15.75">
      <c r="B47" s="1" t="s">
        <v>133</v>
      </c>
      <c r="C47" s="5">
        <v>0.2</v>
      </c>
    </row>
    <row r="48" spans="2:3" ht="15.75">
      <c r="B48" s="4" t="s">
        <v>135</v>
      </c>
      <c r="C48" s="17">
        <f>C12*(100%-C46)</f>
        <v>0</v>
      </c>
    </row>
    <row r="49" spans="2:3" ht="15.75">
      <c r="B49" s="4" t="s">
        <v>136</v>
      </c>
      <c r="C49" s="17">
        <f>C25*(100%-C47)</f>
        <v>0</v>
      </c>
    </row>
    <row r="50" spans="2:3" ht="33.75">
      <c r="B50" s="125" t="s">
        <v>143</v>
      </c>
      <c r="C50" s="129">
        <f>((100%-C46)*(C8*E8+C9*E9+C10*E10+C11*E11)+(100%-C47)*(C17*E17+C18*E18+C19*E19+C20*E20+C21*E21+C22*E22+C23*E23+C24*E24))-C33</f>
        <v>0</v>
      </c>
    </row>
    <row r="51" spans="2:3" ht="33.75">
      <c r="B51" s="125" t="s">
        <v>144</v>
      </c>
      <c r="C51" s="128" t="e">
        <f>C50/C3</f>
        <v>#DIV/0!</v>
      </c>
    </row>
  </sheetData>
  <sheetProtection/>
  <mergeCells count="2">
    <mergeCell ref="E31:G31"/>
    <mergeCell ref="E32:G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="99" zoomScaleNormal="99" zoomScalePageLayoutView="0" workbookViewId="0" topLeftCell="B24">
      <selection activeCell="F31" sqref="F31"/>
    </sheetView>
  </sheetViews>
  <sheetFormatPr defaultColWidth="11.00390625" defaultRowHeight="15.75"/>
  <cols>
    <col min="1" max="1" width="36.00390625" style="0" customWidth="1"/>
    <col min="3" max="3" width="12.375" style="0" customWidth="1"/>
    <col min="6" max="6" width="11.50390625" style="0" bestFit="1" customWidth="1"/>
    <col min="7" max="7" width="13.875" style="0" customWidth="1"/>
    <col min="8" max="8" width="16.50390625" style="0" customWidth="1"/>
    <col min="10" max="10" width="14.00390625" style="0" customWidth="1"/>
    <col min="11" max="11" width="36.375" style="0" customWidth="1"/>
    <col min="13" max="13" width="17.50390625" style="0" customWidth="1"/>
    <col min="14" max="14" width="14.00390625" style="0" customWidth="1"/>
    <col min="15" max="15" width="7.625" style="0" customWidth="1"/>
  </cols>
  <sheetData>
    <row r="1" ht="18.75">
      <c r="A1" s="101" t="s">
        <v>84</v>
      </c>
    </row>
    <row r="2" ht="18.75">
      <c r="A2" s="100" t="s">
        <v>83</v>
      </c>
    </row>
    <row r="3" ht="18.75">
      <c r="A3" s="100" t="s">
        <v>82</v>
      </c>
    </row>
    <row r="4" spans="1:13" ht="18.75">
      <c r="A4" s="100"/>
      <c r="K4" s="11" t="s">
        <v>81</v>
      </c>
      <c r="L4" s="33">
        <v>2014</v>
      </c>
      <c r="M4" s="72">
        <v>2012</v>
      </c>
    </row>
    <row r="5" spans="1:14" ht="18.75">
      <c r="A5" s="99"/>
      <c r="B5" t="s">
        <v>80</v>
      </c>
      <c r="K5" t="s">
        <v>79</v>
      </c>
      <c r="L5" s="39">
        <v>0.2</v>
      </c>
      <c r="M5" s="35">
        <v>0.196</v>
      </c>
      <c r="N5" t="s">
        <v>78</v>
      </c>
    </row>
    <row r="6" spans="1:13" ht="15.75">
      <c r="A6" s="98"/>
      <c r="K6" t="s">
        <v>77</v>
      </c>
      <c r="L6" s="97">
        <v>0.1</v>
      </c>
      <c r="M6" s="80">
        <v>0.07</v>
      </c>
    </row>
    <row r="7" spans="1:10" ht="61.5" customHeight="1">
      <c r="A7" s="70" t="s">
        <v>76</v>
      </c>
      <c r="B7" s="33" t="s">
        <v>23</v>
      </c>
      <c r="C7" s="34" t="s">
        <v>22</v>
      </c>
      <c r="D7" s="33" t="s">
        <v>21</v>
      </c>
      <c r="E7" s="33" t="s">
        <v>20</v>
      </c>
      <c r="F7" s="34" t="s">
        <v>19</v>
      </c>
      <c r="G7" s="34" t="s">
        <v>18</v>
      </c>
      <c r="H7" s="33" t="s">
        <v>59</v>
      </c>
      <c r="I7" s="33"/>
      <c r="J7" s="33"/>
    </row>
    <row r="8" spans="1:13" s="20" customFormat="1" ht="22.5" customHeight="1">
      <c r="A8" s="92" t="s">
        <v>75</v>
      </c>
      <c r="B8" s="90">
        <v>19.5</v>
      </c>
      <c r="C8" s="91">
        <v>2.96</v>
      </c>
      <c r="D8" s="90">
        <v>1.91</v>
      </c>
      <c r="E8" s="90">
        <v>11.81</v>
      </c>
      <c r="F8" s="94"/>
      <c r="G8" s="94"/>
      <c r="H8" s="81">
        <v>37.8</v>
      </c>
      <c r="I8" s="81"/>
      <c r="J8" s="81"/>
      <c r="K8" s="96" t="s">
        <v>74</v>
      </c>
      <c r="L8" s="81">
        <v>2014</v>
      </c>
      <c r="M8" s="81">
        <v>2012</v>
      </c>
    </row>
    <row r="9" spans="1:13" s="20" customFormat="1" ht="13.5" customHeight="1">
      <c r="A9" s="86" t="s">
        <v>73</v>
      </c>
      <c r="B9" s="84">
        <v>297.7</v>
      </c>
      <c r="C9" s="85">
        <v>46</v>
      </c>
      <c r="D9" s="84">
        <v>29.7</v>
      </c>
      <c r="E9" s="84">
        <v>183.7</v>
      </c>
      <c r="F9" s="95"/>
      <c r="G9" s="95"/>
      <c r="H9" s="82">
        <v>587.9</v>
      </c>
      <c r="I9" s="81"/>
      <c r="J9" s="81"/>
      <c r="K9" s="20" t="s">
        <v>72</v>
      </c>
      <c r="L9" s="81">
        <v>7647</v>
      </c>
      <c r="M9" s="81">
        <v>7299</v>
      </c>
    </row>
    <row r="10" spans="1:13" s="20" customFormat="1" ht="18" customHeight="1">
      <c r="A10" s="92" t="s">
        <v>71</v>
      </c>
      <c r="B10" s="90">
        <v>18.8</v>
      </c>
      <c r="C10" s="91">
        <v>3.07</v>
      </c>
      <c r="D10" s="90">
        <v>1.93</v>
      </c>
      <c r="E10" s="90">
        <v>12.68</v>
      </c>
      <c r="F10" s="94"/>
      <c r="G10" s="94"/>
      <c r="H10" s="81">
        <v>38.45</v>
      </c>
      <c r="I10" s="81"/>
      <c r="J10" s="81"/>
      <c r="K10" s="20" t="s">
        <v>70</v>
      </c>
      <c r="L10" s="81">
        <v>7181</v>
      </c>
      <c r="M10" s="81">
        <v>6808</v>
      </c>
    </row>
    <row r="11" spans="1:13" s="20" customFormat="1" ht="18" customHeight="1">
      <c r="A11" s="86" t="s">
        <v>69</v>
      </c>
      <c r="B11" s="84">
        <v>288.2</v>
      </c>
      <c r="C11" s="85">
        <v>47.1</v>
      </c>
      <c r="D11" s="84">
        <v>29.6</v>
      </c>
      <c r="E11" s="90"/>
      <c r="F11" s="94"/>
      <c r="G11" s="94"/>
      <c r="H11" s="82">
        <v>589.6</v>
      </c>
      <c r="I11" s="81"/>
      <c r="J11" s="81"/>
      <c r="K11" s="20" t="s">
        <v>50</v>
      </c>
      <c r="L11" s="81">
        <v>6371</v>
      </c>
      <c r="M11" s="81">
        <v>6063</v>
      </c>
    </row>
    <row r="12" spans="1:13" s="20" customFormat="1" ht="16.5" customHeight="1">
      <c r="A12" s="92" t="s">
        <v>68</v>
      </c>
      <c r="B12" s="90">
        <v>17.74</v>
      </c>
      <c r="C12" s="91">
        <v>3.09</v>
      </c>
      <c r="D12" s="90">
        <v>1.89</v>
      </c>
      <c r="E12" s="90">
        <v>13.03</v>
      </c>
      <c r="F12" s="94"/>
      <c r="G12" s="94"/>
      <c r="H12" s="81">
        <v>37.74</v>
      </c>
      <c r="I12" s="81"/>
      <c r="J12" s="81"/>
      <c r="K12" t="s">
        <v>67</v>
      </c>
      <c r="L12" s="93">
        <v>6731</v>
      </c>
      <c r="M12" s="93">
        <v>6339</v>
      </c>
    </row>
    <row r="13" spans="1:14" s="20" customFormat="1" ht="16.5" customHeight="1">
      <c r="A13" s="92" t="s">
        <v>92</v>
      </c>
      <c r="B13" s="90">
        <v>17.42</v>
      </c>
      <c r="C13" s="91">
        <v>3.14</v>
      </c>
      <c r="D13" s="90">
        <v>1.94</v>
      </c>
      <c r="E13" s="90">
        <v>13.5</v>
      </c>
      <c r="F13" s="89">
        <f>(46*1398800)/1000/1000000</f>
        <v>0.06434480000000001</v>
      </c>
      <c r="G13" s="88">
        <f>H13-SUM(B13:F13)</f>
        <v>1.835655199999998</v>
      </c>
      <c r="H13" s="81">
        <v>37.9</v>
      </c>
      <c r="I13" s="81"/>
      <c r="J13" s="81"/>
      <c r="K13" s="11" t="s">
        <v>66</v>
      </c>
      <c r="L13" s="33">
        <f>L12-L11</f>
        <v>360</v>
      </c>
      <c r="M13" s="33">
        <f>M12-M11</f>
        <v>276</v>
      </c>
      <c r="N13" s="87" t="s">
        <v>65</v>
      </c>
    </row>
    <row r="14" spans="1:13" s="20" customFormat="1" ht="16.5" customHeight="1" thickBot="1">
      <c r="A14" s="86" t="s">
        <v>64</v>
      </c>
      <c r="B14" s="84">
        <v>261.2</v>
      </c>
      <c r="C14" s="85">
        <v>47.1</v>
      </c>
      <c r="D14" s="84">
        <v>29.1</v>
      </c>
      <c r="E14" s="84">
        <v>202.3</v>
      </c>
      <c r="F14" s="83">
        <f>(46*1398800)/L18</f>
        <v>0.9508254740421079</v>
      </c>
      <c r="G14" s="83">
        <f>H14-SUM(B14:E14)-F14</f>
        <v>27.249174525957823</v>
      </c>
      <c r="H14" s="82">
        <v>567.9</v>
      </c>
      <c r="I14" s="81" t="s">
        <v>63</v>
      </c>
      <c r="J14" s="104"/>
      <c r="K14" s="11"/>
      <c r="L14" s="21">
        <f>L13*1000000/L18</f>
        <v>5.319733228717143</v>
      </c>
      <c r="M14" s="80">
        <f>(L13-M13)/M13</f>
        <v>0.30434782608695654</v>
      </c>
    </row>
    <row r="15" spans="1:12" s="20" customFormat="1" ht="18" customHeight="1" thickBot="1">
      <c r="A15" s="79" t="s">
        <v>91</v>
      </c>
      <c r="B15" s="78">
        <f>(B12+B13)/2</f>
        <v>17.58</v>
      </c>
      <c r="C15" s="78">
        <f>(C12+C13)/2</f>
        <v>3.115</v>
      </c>
      <c r="D15" s="78">
        <f>(D12+D13)/2</f>
        <v>1.915</v>
      </c>
      <c r="E15" s="78">
        <f>(E12+E13)/2</f>
        <v>13.265</v>
      </c>
      <c r="F15" s="78">
        <f>F13</f>
        <v>0.06434480000000001</v>
      </c>
      <c r="G15" s="78">
        <f>H15-SUM(B15:F15)</f>
        <v>1.8806551999999996</v>
      </c>
      <c r="H15" s="77">
        <f>(H12+H13)/2</f>
        <v>37.82</v>
      </c>
      <c r="I15" s="72"/>
      <c r="J15" s="76">
        <v>0.8</v>
      </c>
      <c r="K15" t="s">
        <v>62</v>
      </c>
      <c r="L15" s="72">
        <f>L13*J15</f>
        <v>288</v>
      </c>
    </row>
    <row r="16" spans="1:12" s="20" customFormat="1" ht="18" customHeight="1">
      <c r="A16" s="75"/>
      <c r="B16" s="74"/>
      <c r="C16" s="74"/>
      <c r="D16" s="74"/>
      <c r="E16" s="74"/>
      <c r="F16" s="74"/>
      <c r="G16" s="74"/>
      <c r="H16" s="73"/>
      <c r="I16" s="72"/>
      <c r="J16"/>
      <c r="K16" t="s">
        <v>61</v>
      </c>
      <c r="L16" s="71">
        <f>L13/L9</f>
        <v>0.04707728520988623</v>
      </c>
    </row>
    <row r="17" spans="1:11" s="20" customFormat="1" ht="60" customHeight="1">
      <c r="A17" s="70" t="s">
        <v>60</v>
      </c>
      <c r="B17" s="33" t="s">
        <v>23</v>
      </c>
      <c r="C17" s="34" t="s">
        <v>22</v>
      </c>
      <c r="D17" s="33" t="s">
        <v>21</v>
      </c>
      <c r="E17" s="33" t="s">
        <v>20</v>
      </c>
      <c r="F17" s="34" t="s">
        <v>19</v>
      </c>
      <c r="G17" s="34" t="s">
        <v>18</v>
      </c>
      <c r="H17" s="33" t="s">
        <v>59</v>
      </c>
      <c r="K17"/>
    </row>
    <row r="18" spans="1:12" ht="15.75">
      <c r="A18" t="s">
        <v>15</v>
      </c>
      <c r="B18" s="66">
        <v>0.08</v>
      </c>
      <c r="C18" s="66">
        <v>0.09</v>
      </c>
      <c r="D18" s="66">
        <v>0.14</v>
      </c>
      <c r="E18" s="66">
        <v>0.08</v>
      </c>
      <c r="F18" s="66">
        <v>0.09</v>
      </c>
      <c r="G18" s="38">
        <f>H18</f>
        <v>0.09</v>
      </c>
      <c r="H18" s="65">
        <v>0.09</v>
      </c>
      <c r="K18" s="11" t="s">
        <v>58</v>
      </c>
      <c r="L18" s="69">
        <f>'Reconstitution TVA 2014 10% ha '!K17</f>
        <v>67672566.37168142</v>
      </c>
    </row>
    <row r="19" spans="1:12" ht="15.75">
      <c r="A19" t="s">
        <v>14</v>
      </c>
      <c r="B19" s="66">
        <v>0.01</v>
      </c>
      <c r="C19" s="66">
        <v>0.01</v>
      </c>
      <c r="D19" s="66">
        <v>0.02</v>
      </c>
      <c r="E19" s="66">
        <v>0.01</v>
      </c>
      <c r="F19" s="66">
        <v>0.01</v>
      </c>
      <c r="G19" s="38">
        <f>H19</f>
        <v>0.01</v>
      </c>
      <c r="H19" s="65">
        <v>0.01</v>
      </c>
      <c r="L19" s="68">
        <f>H15*1000000*1000/H14</f>
        <v>66596231.73093855</v>
      </c>
    </row>
    <row r="20" spans="1:8" ht="15.75">
      <c r="A20" t="s">
        <v>13</v>
      </c>
      <c r="B20" s="66">
        <v>0.46</v>
      </c>
      <c r="C20" s="66">
        <v>0.51</v>
      </c>
      <c r="D20" s="66">
        <v>0.84</v>
      </c>
      <c r="E20" s="67">
        <v>0.32</v>
      </c>
      <c r="F20" s="66">
        <v>0.65</v>
      </c>
      <c r="G20" s="38">
        <f>H20</f>
        <v>0.45</v>
      </c>
      <c r="H20" s="65">
        <v>0.45</v>
      </c>
    </row>
    <row r="21" spans="1:8" ht="15.75">
      <c r="A21" t="s">
        <v>12</v>
      </c>
      <c r="B21" s="66">
        <v>0.04</v>
      </c>
      <c r="C21" s="66">
        <v>0.03</v>
      </c>
      <c r="D21" s="66"/>
      <c r="E21" s="66">
        <v>0.21</v>
      </c>
      <c r="F21" s="66"/>
      <c r="G21" s="38">
        <f>H21</f>
        <v>0.08</v>
      </c>
      <c r="H21" s="65">
        <v>0.08</v>
      </c>
    </row>
    <row r="22" spans="1:8" ht="15.75">
      <c r="A22" t="s">
        <v>11</v>
      </c>
      <c r="B22" s="66">
        <v>0.41</v>
      </c>
      <c r="C22" s="66">
        <v>0.36</v>
      </c>
      <c r="D22" s="66">
        <v>0</v>
      </c>
      <c r="E22" s="67">
        <v>0.38</v>
      </c>
      <c r="F22" s="66">
        <v>0.25</v>
      </c>
      <c r="G22" s="38">
        <f>H22</f>
        <v>0.37</v>
      </c>
      <c r="H22" s="65">
        <v>0.37</v>
      </c>
    </row>
    <row r="23" spans="1:8" ht="15.75">
      <c r="A23" s="31" t="s">
        <v>6</v>
      </c>
      <c r="B23" s="64">
        <f aca="true" t="shared" si="0" ref="B23:H23">SUM(B18:B22)</f>
        <v>1</v>
      </c>
      <c r="C23" s="64">
        <f t="shared" si="0"/>
        <v>1</v>
      </c>
      <c r="D23" s="64">
        <f t="shared" si="0"/>
        <v>1</v>
      </c>
      <c r="E23" s="64">
        <f t="shared" si="0"/>
        <v>1</v>
      </c>
      <c r="F23" s="64">
        <f t="shared" si="0"/>
        <v>1</v>
      </c>
      <c r="G23" s="64">
        <f t="shared" si="0"/>
        <v>1</v>
      </c>
      <c r="H23" s="63">
        <f t="shared" si="0"/>
        <v>1</v>
      </c>
    </row>
    <row r="24" ht="15.75">
      <c r="B24" s="11"/>
    </row>
    <row r="25" spans="1:10" ht="102">
      <c r="A25" s="34" t="s">
        <v>57</v>
      </c>
      <c r="B25" s="33" t="s">
        <v>23</v>
      </c>
      <c r="C25" s="33" t="s">
        <v>22</v>
      </c>
      <c r="D25" s="33" t="s">
        <v>21</v>
      </c>
      <c r="E25" s="33" t="s">
        <v>20</v>
      </c>
      <c r="F25" s="34" t="s">
        <v>19</v>
      </c>
      <c r="G25" s="34" t="s">
        <v>18</v>
      </c>
      <c r="H25" s="33" t="s">
        <v>17</v>
      </c>
      <c r="I25" s="33" t="s">
        <v>56</v>
      </c>
      <c r="J25" s="33" t="s">
        <v>55</v>
      </c>
    </row>
    <row r="26" spans="1:13" ht="15.75">
      <c r="A26" t="s">
        <v>15</v>
      </c>
      <c r="B26" s="62">
        <f>B18*$B$31</f>
        <v>19.36</v>
      </c>
      <c r="C26" s="62">
        <f aca="true" t="shared" si="1" ref="C26:G30">C18*C$31</f>
        <v>39.78</v>
      </c>
      <c r="D26" s="62">
        <f t="shared" si="1"/>
        <v>12.180000000000001</v>
      </c>
      <c r="E26" s="62">
        <f t="shared" si="1"/>
        <v>10.24</v>
      </c>
      <c r="F26" s="62">
        <f t="shared" si="1"/>
        <v>27.99</v>
      </c>
      <c r="G26" s="61">
        <f t="shared" si="1"/>
        <v>23.849999999999998</v>
      </c>
      <c r="M26" t="s">
        <v>54</v>
      </c>
    </row>
    <row r="27" spans="1:7" ht="15.75">
      <c r="A27" t="s">
        <v>14</v>
      </c>
      <c r="B27" s="62">
        <f>B19*$B$31</f>
        <v>2.42</v>
      </c>
      <c r="C27" s="62">
        <f t="shared" si="1"/>
        <v>4.42</v>
      </c>
      <c r="D27" s="62">
        <f t="shared" si="1"/>
        <v>1.74</v>
      </c>
      <c r="E27" s="62">
        <f t="shared" si="1"/>
        <v>1.28</v>
      </c>
      <c r="F27" s="62">
        <f t="shared" si="1"/>
        <v>3.11</v>
      </c>
      <c r="G27" s="61">
        <f t="shared" si="1"/>
        <v>2.65</v>
      </c>
    </row>
    <row r="28" spans="1:7" ht="15.75">
      <c r="A28" t="s">
        <v>13</v>
      </c>
      <c r="B28" s="62">
        <f>B20*$B$31</f>
        <v>111.32000000000001</v>
      </c>
      <c r="C28" s="62">
        <f t="shared" si="1"/>
        <v>225.42000000000002</v>
      </c>
      <c r="D28" s="62">
        <f t="shared" si="1"/>
        <v>73.08</v>
      </c>
      <c r="E28" s="62">
        <f t="shared" si="1"/>
        <v>40.96</v>
      </c>
      <c r="F28" s="62">
        <f t="shared" si="1"/>
        <v>202.15</v>
      </c>
      <c r="G28" s="61">
        <f t="shared" si="1"/>
        <v>119.25</v>
      </c>
    </row>
    <row r="29" spans="1:7" ht="15.75">
      <c r="A29" t="s">
        <v>12</v>
      </c>
      <c r="B29" s="62">
        <f>B21*$B$31</f>
        <v>9.68</v>
      </c>
      <c r="C29" s="62">
        <f t="shared" si="1"/>
        <v>13.26</v>
      </c>
      <c r="D29" s="62">
        <f t="shared" si="1"/>
        <v>0</v>
      </c>
      <c r="E29" s="62">
        <f t="shared" si="1"/>
        <v>26.88</v>
      </c>
      <c r="F29" s="62">
        <f t="shared" si="1"/>
        <v>0</v>
      </c>
      <c r="G29" s="61">
        <f t="shared" si="1"/>
        <v>21.2</v>
      </c>
    </row>
    <row r="30" spans="1:7" ht="15.75">
      <c r="A30" t="s">
        <v>11</v>
      </c>
      <c r="B30" s="62">
        <f>B22*$B$31</f>
        <v>99.22</v>
      </c>
      <c r="C30" s="62">
        <f t="shared" si="1"/>
        <v>159.12</v>
      </c>
      <c r="D30" s="62">
        <f t="shared" si="1"/>
        <v>0</v>
      </c>
      <c r="E30" s="62">
        <f t="shared" si="1"/>
        <v>48.64</v>
      </c>
      <c r="F30" s="62">
        <f t="shared" si="1"/>
        <v>77.75</v>
      </c>
      <c r="G30" s="61">
        <f t="shared" si="1"/>
        <v>98.05</v>
      </c>
    </row>
    <row r="31" spans="1:11" ht="15.75">
      <c r="A31" t="s">
        <v>53</v>
      </c>
      <c r="B31" s="57">
        <v>242</v>
      </c>
      <c r="C31" s="57">
        <v>442</v>
      </c>
      <c r="D31" s="57">
        <v>87</v>
      </c>
      <c r="E31" s="57">
        <v>128</v>
      </c>
      <c r="F31" s="57">
        <f>20+3+2+26+174+86</f>
        <v>311</v>
      </c>
      <c r="G31" s="20">
        <v>265</v>
      </c>
      <c r="H31" s="57">
        <v>212</v>
      </c>
      <c r="I31" s="57">
        <v>205</v>
      </c>
      <c r="K31" s="58">
        <f>(B31*B15+C31*C15+D31*D15+E31*E15+F31*F15+G15*G31)/H15</f>
        <v>211.9011068429402</v>
      </c>
    </row>
    <row r="32" spans="2:11" ht="15.75">
      <c r="B32" s="60">
        <f aca="true" t="shared" si="2" ref="B32:G32">B31*B15</f>
        <v>4254.36</v>
      </c>
      <c r="C32" s="60">
        <f t="shared" si="2"/>
        <v>1376.8300000000002</v>
      </c>
      <c r="D32" s="60">
        <f t="shared" si="2"/>
        <v>166.605</v>
      </c>
      <c r="E32" s="60">
        <f t="shared" si="2"/>
        <v>1697.92</v>
      </c>
      <c r="F32" s="60">
        <f t="shared" si="2"/>
        <v>20.011232800000002</v>
      </c>
      <c r="G32" s="59">
        <f t="shared" si="2"/>
        <v>498.3736279999999</v>
      </c>
      <c r="H32" s="57"/>
      <c r="I32" s="57"/>
      <c r="K32" s="58">
        <f>SUM(A32:G32)</f>
        <v>8014.099860799999</v>
      </c>
    </row>
    <row r="33" spans="1:9" ht="15.75">
      <c r="A33" t="s">
        <v>52</v>
      </c>
      <c r="B33" s="57">
        <v>235</v>
      </c>
      <c r="C33" s="57">
        <v>364</v>
      </c>
      <c r="D33" s="57">
        <v>65</v>
      </c>
      <c r="E33" s="57">
        <v>123</v>
      </c>
      <c r="F33" s="57">
        <v>474</v>
      </c>
      <c r="G33" s="20"/>
      <c r="H33" s="57">
        <v>198</v>
      </c>
      <c r="I33" s="57"/>
    </row>
    <row r="34" spans="1:9" ht="15.75">
      <c r="A34" t="s">
        <v>51</v>
      </c>
      <c r="B34" s="57">
        <v>231</v>
      </c>
      <c r="C34" s="57">
        <v>190</v>
      </c>
      <c r="D34" s="57">
        <v>57</v>
      </c>
      <c r="E34" s="57">
        <v>117</v>
      </c>
      <c r="F34" s="57">
        <v>474</v>
      </c>
      <c r="G34" s="20"/>
      <c r="H34" s="57"/>
      <c r="I34" s="57"/>
    </row>
    <row r="35" spans="1:10" ht="15.75">
      <c r="A35" t="s">
        <v>50</v>
      </c>
      <c r="B35" s="57">
        <v>227</v>
      </c>
      <c r="C35" s="57">
        <v>185</v>
      </c>
      <c r="D35" s="57">
        <v>54</v>
      </c>
      <c r="E35" s="57">
        <v>114</v>
      </c>
      <c r="F35" s="57">
        <v>471</v>
      </c>
      <c r="G35" s="20"/>
      <c r="H35" s="57">
        <v>174</v>
      </c>
      <c r="I35" s="57">
        <v>166</v>
      </c>
      <c r="J35" s="57">
        <v>162</v>
      </c>
    </row>
    <row r="36" ht="15.75">
      <c r="J36" s="40"/>
    </row>
    <row r="37" spans="1:8" ht="102">
      <c r="A37" s="11" t="s">
        <v>49</v>
      </c>
      <c r="B37" s="33" t="s">
        <v>23</v>
      </c>
      <c r="C37" s="33" t="s">
        <v>22</v>
      </c>
      <c r="D37" s="33" t="s">
        <v>21</v>
      </c>
      <c r="E37" s="33" t="s">
        <v>20</v>
      </c>
      <c r="F37" s="34" t="s">
        <v>19</v>
      </c>
      <c r="G37" s="34" t="s">
        <v>18</v>
      </c>
      <c r="H37" s="33" t="s">
        <v>17</v>
      </c>
    </row>
    <row r="38" spans="1:11" ht="15.75">
      <c r="A38" t="s">
        <v>15</v>
      </c>
      <c r="B38" s="52">
        <v>0.04</v>
      </c>
      <c r="C38" s="52">
        <v>0.1</v>
      </c>
      <c r="D38" s="52">
        <v>0.04</v>
      </c>
      <c r="E38" s="52">
        <v>0.02</v>
      </c>
      <c r="F38" s="52">
        <v>0.15</v>
      </c>
      <c r="G38" s="49">
        <f>B38</f>
        <v>0.04</v>
      </c>
      <c r="K38" t="s">
        <v>48</v>
      </c>
    </row>
    <row r="39" spans="1:7" ht="15.75">
      <c r="A39" t="s">
        <v>14</v>
      </c>
      <c r="B39" s="52">
        <v>0.01</v>
      </c>
      <c r="C39" s="52">
        <v>0.01</v>
      </c>
      <c r="D39" s="52">
        <v>0.01</v>
      </c>
      <c r="E39" s="52">
        <v>0.01</v>
      </c>
      <c r="F39" s="50">
        <v>0.2</v>
      </c>
      <c r="G39" s="49">
        <f>B39</f>
        <v>0.01</v>
      </c>
    </row>
    <row r="40" spans="1:11" ht="15.75">
      <c r="A40" t="s">
        <v>13</v>
      </c>
      <c r="B40" s="56">
        <v>0.66</v>
      </c>
      <c r="C40" s="52">
        <f>B40</f>
        <v>0.66</v>
      </c>
      <c r="D40" s="52">
        <v>0.96</v>
      </c>
      <c r="E40" s="52">
        <v>0.41</v>
      </c>
      <c r="F40" s="52">
        <f>B40</f>
        <v>0.66</v>
      </c>
      <c r="G40" s="49">
        <f>B40</f>
        <v>0.66</v>
      </c>
      <c r="K40" t="s">
        <v>47</v>
      </c>
    </row>
    <row r="41" spans="1:7" ht="15.75">
      <c r="A41" t="s">
        <v>12</v>
      </c>
      <c r="B41" s="55">
        <f>B40</f>
        <v>0.66</v>
      </c>
      <c r="C41" s="54">
        <f>B41</f>
        <v>0.66</v>
      </c>
      <c r="D41" s="54">
        <f>D40</f>
        <v>0.96</v>
      </c>
      <c r="E41" s="50">
        <f>E40</f>
        <v>0.41</v>
      </c>
      <c r="F41" s="50">
        <f>B41</f>
        <v>0.66</v>
      </c>
      <c r="G41" s="49">
        <f>B41</f>
        <v>0.66</v>
      </c>
    </row>
    <row r="42" spans="1:15" ht="66.75" customHeight="1">
      <c r="A42" s="3" t="s">
        <v>11</v>
      </c>
      <c r="B42" s="53">
        <f>L46</f>
        <v>0.20392065125853842</v>
      </c>
      <c r="C42" s="51">
        <v>0.63</v>
      </c>
      <c r="D42" s="52">
        <v>1</v>
      </c>
      <c r="E42" s="51">
        <f>M58</f>
        <v>0.4674200300061451</v>
      </c>
      <c r="F42" s="50">
        <v>0.71</v>
      </c>
      <c r="G42" s="49">
        <f>B42</f>
        <v>0.20392065125853842</v>
      </c>
      <c r="K42" s="11" t="s">
        <v>46</v>
      </c>
      <c r="M42" s="34" t="s">
        <v>45</v>
      </c>
      <c r="N42" s="22" t="s">
        <v>44</v>
      </c>
      <c r="O42" t="s">
        <v>43</v>
      </c>
    </row>
    <row r="43" spans="2:15" ht="15.75">
      <c r="B43" s="39"/>
      <c r="C43" s="48" t="s">
        <v>41</v>
      </c>
      <c r="D43" s="39"/>
      <c r="E43" s="39"/>
      <c r="F43" s="39"/>
      <c r="G43" s="38"/>
      <c r="K43" t="s">
        <v>42</v>
      </c>
      <c r="L43" s="39">
        <v>0.63</v>
      </c>
      <c r="M43" s="47">
        <v>0.05</v>
      </c>
      <c r="N43">
        <v>114</v>
      </c>
      <c r="O43" s="28">
        <f>$Q$66/($B$15+$E$15*$L$52)*L43</f>
        <v>0</v>
      </c>
    </row>
    <row r="44" spans="11:15" ht="15.75">
      <c r="K44" t="s">
        <v>7</v>
      </c>
      <c r="L44" s="39">
        <v>0.275</v>
      </c>
      <c r="M44" s="47">
        <v>0.76</v>
      </c>
      <c r="N44">
        <v>86</v>
      </c>
      <c r="O44" s="28">
        <f>$Q$66/$B$15*L44</f>
        <v>0</v>
      </c>
    </row>
    <row r="45" spans="1:14" ht="102">
      <c r="A45" s="34" t="s">
        <v>90</v>
      </c>
      <c r="B45" s="33" t="s">
        <v>23</v>
      </c>
      <c r="C45" s="34" t="s">
        <v>22</v>
      </c>
      <c r="D45" s="33" t="s">
        <v>21</v>
      </c>
      <c r="E45" s="33" t="s">
        <v>20</v>
      </c>
      <c r="F45" s="34" t="s">
        <v>19</v>
      </c>
      <c r="G45" s="34" t="s">
        <v>18</v>
      </c>
      <c r="H45" s="33" t="s">
        <v>17</v>
      </c>
      <c r="K45" t="s">
        <v>40</v>
      </c>
      <c r="L45" s="47">
        <f>1-(L43+L44)</f>
        <v>0.09499999999999997</v>
      </c>
      <c r="M45" s="39">
        <v>0.02</v>
      </c>
      <c r="N45" s="24">
        <v>120</v>
      </c>
    </row>
    <row r="46" spans="1:14" ht="15.75">
      <c r="A46" s="20" t="s">
        <v>15</v>
      </c>
      <c r="B46" s="44">
        <f aca="true" t="shared" si="3" ref="B46:G50">(B38)*B26*$L$6</f>
        <v>0.07744000000000001</v>
      </c>
      <c r="C46" s="44">
        <f t="shared" si="3"/>
        <v>0.39780000000000004</v>
      </c>
      <c r="D46" s="44">
        <f t="shared" si="3"/>
        <v>0.04872000000000001</v>
      </c>
      <c r="E46" s="44">
        <f t="shared" si="3"/>
        <v>0.02048</v>
      </c>
      <c r="F46" s="44">
        <f t="shared" si="3"/>
        <v>0.41984999999999995</v>
      </c>
      <c r="G46" s="44">
        <f t="shared" si="3"/>
        <v>0.0954</v>
      </c>
      <c r="K46" t="s">
        <v>39</v>
      </c>
      <c r="L46" s="46">
        <f>(L43*M43*N43+L44*M44*N44+L45*M45*N45)/(L43*N43+L44*N44+L45*N45)</f>
        <v>0.20392065125853842</v>
      </c>
      <c r="M46" t="s">
        <v>38</v>
      </c>
      <c r="N46" t="s">
        <v>89</v>
      </c>
    </row>
    <row r="47" spans="1:7" ht="15.75">
      <c r="A47" s="20" t="s">
        <v>14</v>
      </c>
      <c r="B47" s="44">
        <f t="shared" si="3"/>
        <v>0.0024200000000000003</v>
      </c>
      <c r="C47" s="44">
        <f t="shared" si="3"/>
        <v>0.00442</v>
      </c>
      <c r="D47" s="44">
        <f t="shared" si="3"/>
        <v>0.00174</v>
      </c>
      <c r="E47" s="44">
        <f t="shared" si="3"/>
        <v>0.00128</v>
      </c>
      <c r="F47" s="44">
        <f t="shared" si="3"/>
        <v>0.062200000000000005</v>
      </c>
      <c r="G47" s="44">
        <f t="shared" si="3"/>
        <v>0.00265</v>
      </c>
    </row>
    <row r="48" spans="1:7" ht="15.75">
      <c r="A48" s="20" t="s">
        <v>13</v>
      </c>
      <c r="B48" s="44">
        <f t="shared" si="3"/>
        <v>7.347120000000001</v>
      </c>
      <c r="C48" s="44">
        <f t="shared" si="3"/>
        <v>14.877720000000004</v>
      </c>
      <c r="D48" s="44">
        <f t="shared" si="3"/>
        <v>7.01568</v>
      </c>
      <c r="E48" s="44">
        <f t="shared" si="3"/>
        <v>1.67936</v>
      </c>
      <c r="F48" s="44">
        <f t="shared" si="3"/>
        <v>13.341900000000003</v>
      </c>
      <c r="G48" s="44">
        <f t="shared" si="3"/>
        <v>7.8705</v>
      </c>
    </row>
    <row r="49" spans="1:14" ht="15.75">
      <c r="A49" s="20" t="s">
        <v>12</v>
      </c>
      <c r="B49" s="44">
        <f t="shared" si="3"/>
        <v>0.63888</v>
      </c>
      <c r="C49" s="44">
        <f t="shared" si="3"/>
        <v>0.87516</v>
      </c>
      <c r="D49" s="44">
        <f t="shared" si="3"/>
        <v>0</v>
      </c>
      <c r="E49" s="44">
        <f t="shared" si="3"/>
        <v>1.10208</v>
      </c>
      <c r="F49" s="44">
        <f t="shared" si="3"/>
        <v>0</v>
      </c>
      <c r="G49" s="44">
        <f t="shared" si="3"/>
        <v>1.3992000000000002</v>
      </c>
      <c r="K49" s="9" t="s">
        <v>37</v>
      </c>
      <c r="M49" t="s">
        <v>36</v>
      </c>
      <c r="N49" t="s">
        <v>35</v>
      </c>
    </row>
    <row r="50" spans="1:14" ht="15.75">
      <c r="A50" s="20" t="s">
        <v>11</v>
      </c>
      <c r="B50" s="44">
        <f t="shared" si="3"/>
        <v>2.0233007017872184</v>
      </c>
      <c r="C50" s="44">
        <f t="shared" si="3"/>
        <v>10.024560000000001</v>
      </c>
      <c r="D50" s="44">
        <f t="shared" si="3"/>
        <v>0</v>
      </c>
      <c r="E50" s="44">
        <f t="shared" si="3"/>
        <v>2.27353102594989</v>
      </c>
      <c r="F50" s="44">
        <f t="shared" si="3"/>
        <v>5.520250000000001</v>
      </c>
      <c r="G50" s="44">
        <f t="shared" si="3"/>
        <v>1.9994419855899694</v>
      </c>
      <c r="K50" t="s">
        <v>34</v>
      </c>
      <c r="L50" s="39">
        <v>0.267</v>
      </c>
      <c r="M50" s="38">
        <v>0.99</v>
      </c>
      <c r="N50" s="40">
        <v>6.5</v>
      </c>
    </row>
    <row r="51" spans="1:14" s="31" customFormat="1" ht="15.75">
      <c r="A51" s="31" t="s">
        <v>8</v>
      </c>
      <c r="B51" s="43">
        <f aca="true" t="shared" si="4" ref="B51:G51">SUM(B46:B50)</f>
        <v>10.089160701787218</v>
      </c>
      <c r="C51" s="43">
        <f t="shared" si="4"/>
        <v>26.179660000000005</v>
      </c>
      <c r="D51" s="43">
        <f t="shared" si="4"/>
        <v>7.06614</v>
      </c>
      <c r="E51" s="43">
        <f t="shared" si="4"/>
        <v>5.07673102594989</v>
      </c>
      <c r="F51" s="43">
        <f t="shared" si="4"/>
        <v>19.3442</v>
      </c>
      <c r="G51" s="43">
        <f t="shared" si="4"/>
        <v>11.367191985589969</v>
      </c>
      <c r="K51" t="s">
        <v>33</v>
      </c>
      <c r="L51" s="39">
        <v>0.297</v>
      </c>
      <c r="M51" s="38">
        <v>0.71</v>
      </c>
      <c r="N51" s="40">
        <v>39</v>
      </c>
    </row>
    <row r="52" spans="2:14" ht="15.75">
      <c r="B52" s="42">
        <f aca="true" t="shared" si="5" ref="B52:G52">B51/B31</f>
        <v>0.04169074670160008</v>
      </c>
      <c r="C52" s="42">
        <f t="shared" si="5"/>
        <v>0.05923000000000001</v>
      </c>
      <c r="D52" s="42">
        <f t="shared" si="5"/>
        <v>0.08122</v>
      </c>
      <c r="E52" s="42">
        <f t="shared" si="5"/>
        <v>0.039661961140233515</v>
      </c>
      <c r="F52" s="42">
        <f t="shared" si="5"/>
        <v>0.062200000000000005</v>
      </c>
      <c r="G52" s="42">
        <f t="shared" si="5"/>
        <v>0.04289506409656592</v>
      </c>
      <c r="K52" t="s">
        <v>32</v>
      </c>
      <c r="L52" s="39">
        <v>0.247</v>
      </c>
      <c r="M52" s="45">
        <f>B42</f>
        <v>0.20392065125853842</v>
      </c>
      <c r="N52" s="40">
        <v>92</v>
      </c>
    </row>
    <row r="53" spans="1:15" ht="15.75">
      <c r="A53" s="37" t="s">
        <v>88</v>
      </c>
      <c r="B53" s="36">
        <f aca="true" t="shared" si="6" ref="B53:G53">B31*$L$16*$J$15</f>
        <v>9.114162416633974</v>
      </c>
      <c r="C53" s="36">
        <f t="shared" si="6"/>
        <v>16.64652805021577</v>
      </c>
      <c r="D53" s="36">
        <f t="shared" si="6"/>
        <v>3.276579050608082</v>
      </c>
      <c r="E53" s="36">
        <f t="shared" si="6"/>
        <v>4.82071400549235</v>
      </c>
      <c r="F53" s="36">
        <f t="shared" si="6"/>
        <v>11.712828560219695</v>
      </c>
      <c r="G53" s="36">
        <f t="shared" si="6"/>
        <v>9.98038446449588</v>
      </c>
      <c r="K53" t="s">
        <v>31</v>
      </c>
      <c r="L53" s="39">
        <v>0.15</v>
      </c>
      <c r="M53" s="38">
        <f>C42</f>
        <v>0.63</v>
      </c>
      <c r="N53" s="19">
        <v>25</v>
      </c>
      <c r="O53" t="s">
        <v>30</v>
      </c>
    </row>
    <row r="54" spans="1:14" ht="15.75">
      <c r="A54" s="37"/>
      <c r="B54" s="36"/>
      <c r="C54" s="36"/>
      <c r="D54" s="36"/>
      <c r="E54" s="36"/>
      <c r="F54" s="36"/>
      <c r="G54" s="36"/>
      <c r="K54" t="s">
        <v>29</v>
      </c>
      <c r="L54" s="39">
        <v>0.024</v>
      </c>
      <c r="M54" s="38">
        <v>1</v>
      </c>
      <c r="N54" s="19">
        <v>0</v>
      </c>
    </row>
    <row r="55" spans="1:15" ht="102">
      <c r="A55" s="11" t="s">
        <v>24</v>
      </c>
      <c r="B55" s="33" t="s">
        <v>23</v>
      </c>
      <c r="C55" s="33" t="s">
        <v>22</v>
      </c>
      <c r="D55" s="33" t="s">
        <v>21</v>
      </c>
      <c r="E55" s="33" t="s">
        <v>20</v>
      </c>
      <c r="F55" s="34" t="s">
        <v>19</v>
      </c>
      <c r="G55" s="34" t="s">
        <v>18</v>
      </c>
      <c r="H55" s="33" t="s">
        <v>17</v>
      </c>
      <c r="K55" t="s">
        <v>28</v>
      </c>
      <c r="L55" s="41">
        <v>0.004</v>
      </c>
      <c r="M55" s="38">
        <v>1</v>
      </c>
      <c r="N55" s="40">
        <v>723</v>
      </c>
      <c r="O55" t="s">
        <v>27</v>
      </c>
    </row>
    <row r="56" spans="1:14" ht="15.75">
      <c r="A56" s="20" t="s">
        <v>15</v>
      </c>
      <c r="B56" s="21">
        <f aca="true" t="shared" si="7" ref="B56:G60">B46*B$15</f>
        <v>1.3613952</v>
      </c>
      <c r="C56" s="21">
        <f t="shared" si="7"/>
        <v>1.2391470000000002</v>
      </c>
      <c r="D56" s="21">
        <f t="shared" si="7"/>
        <v>0.09329880000000003</v>
      </c>
      <c r="E56" s="21">
        <f t="shared" si="7"/>
        <v>0.27166720000000005</v>
      </c>
      <c r="F56" s="21">
        <f t="shared" si="7"/>
        <v>0.02701516428</v>
      </c>
      <c r="G56" s="21">
        <f t="shared" si="7"/>
        <v>0.17941450607999995</v>
      </c>
      <c r="H56" s="30">
        <f aca="true" t="shared" si="8" ref="H56:H62">SUM(B56:G56)</f>
        <v>3.1719378703600003</v>
      </c>
      <c r="K56" t="s">
        <v>26</v>
      </c>
      <c r="L56" s="39">
        <v>0.007</v>
      </c>
      <c r="M56" s="38">
        <v>0.9</v>
      </c>
      <c r="N56" s="19">
        <v>40</v>
      </c>
    </row>
    <row r="57" spans="1:14" ht="15.75">
      <c r="A57" s="20" t="s">
        <v>14</v>
      </c>
      <c r="B57" s="21">
        <f t="shared" si="7"/>
        <v>0.0425436</v>
      </c>
      <c r="C57" s="21">
        <f t="shared" si="7"/>
        <v>0.013768300000000002</v>
      </c>
      <c r="D57" s="21">
        <f t="shared" si="7"/>
        <v>0.0033321</v>
      </c>
      <c r="E57" s="21">
        <f t="shared" si="7"/>
        <v>0.016979200000000003</v>
      </c>
      <c r="F57" s="21">
        <f t="shared" si="7"/>
        <v>0.0040022465600000005</v>
      </c>
      <c r="G57" s="21">
        <f t="shared" si="7"/>
        <v>0.004983736279999999</v>
      </c>
      <c r="H57" s="30">
        <f t="shared" si="8"/>
        <v>0.08560918284</v>
      </c>
      <c r="L57" s="35">
        <f>SUM(L50:L56)</f>
        <v>0.9960000000000001</v>
      </c>
      <c r="N57" s="21">
        <f>L50*N50+L51*N51+L52*N52+L53*N53+L54*N54+L55*N55+L56*N56</f>
        <v>42.96450000000001</v>
      </c>
    </row>
    <row r="58" spans="1:13" ht="15.75">
      <c r="A58" s="20" t="s">
        <v>13</v>
      </c>
      <c r="B58" s="21">
        <f t="shared" si="7"/>
        <v>129.1623696</v>
      </c>
      <c r="C58" s="21">
        <f t="shared" si="7"/>
        <v>46.344097800000014</v>
      </c>
      <c r="D58" s="21">
        <f t="shared" si="7"/>
        <v>13.4350272</v>
      </c>
      <c r="E58" s="21">
        <f t="shared" si="7"/>
        <v>22.2767104</v>
      </c>
      <c r="F58" s="21">
        <f t="shared" si="7"/>
        <v>0.8584818871200003</v>
      </c>
      <c r="G58" s="21">
        <f t="shared" si="7"/>
        <v>14.801696751599996</v>
      </c>
      <c r="H58" s="30">
        <f t="shared" si="8"/>
        <v>226.87838363872</v>
      </c>
      <c r="K58" s="11"/>
      <c r="L58" s="26" t="s">
        <v>16</v>
      </c>
      <c r="M58" s="32">
        <f>(L50*M50*N50+L51*M51*N51+L52*M52*N52+L53*M53*N53+L54*M54*N54+L55*M55*N55+L56*M56*N56)/(L50*N50+L51*N51+L52*N52+L53*N53+L55*N55+L56*N56)</f>
        <v>0.4674200300061451</v>
      </c>
    </row>
    <row r="59" spans="1:8" ht="15.75">
      <c r="A59" s="20" t="s">
        <v>12</v>
      </c>
      <c r="B59" s="21">
        <f t="shared" si="7"/>
        <v>11.2315104</v>
      </c>
      <c r="C59" s="21">
        <f t="shared" si="7"/>
        <v>2.7261234000000005</v>
      </c>
      <c r="D59" s="21">
        <f t="shared" si="7"/>
        <v>0</v>
      </c>
      <c r="E59" s="21">
        <f t="shared" si="7"/>
        <v>14.6190912</v>
      </c>
      <c r="F59" s="21">
        <f t="shared" si="7"/>
        <v>0</v>
      </c>
      <c r="G59" s="21">
        <f t="shared" si="7"/>
        <v>2.63141275584</v>
      </c>
      <c r="H59" s="30">
        <f t="shared" si="8"/>
        <v>31.20813775584</v>
      </c>
    </row>
    <row r="60" spans="1:8" ht="15.75">
      <c r="A60" s="20" t="s">
        <v>11</v>
      </c>
      <c r="B60" s="21">
        <f t="shared" si="7"/>
        <v>35.569626337419294</v>
      </c>
      <c r="C60" s="21">
        <f t="shared" si="7"/>
        <v>31.226504400000007</v>
      </c>
      <c r="D60" s="21">
        <f t="shared" si="7"/>
        <v>0</v>
      </c>
      <c r="E60" s="21">
        <f t="shared" si="7"/>
        <v>30.158389059225293</v>
      </c>
      <c r="F60" s="21">
        <f t="shared" si="7"/>
        <v>0.3551993822000001</v>
      </c>
      <c r="G60" s="21">
        <f t="shared" si="7"/>
        <v>3.7602609672981004</v>
      </c>
      <c r="H60" s="30">
        <f t="shared" si="8"/>
        <v>101.0699801461427</v>
      </c>
    </row>
    <row r="61" spans="1:8" ht="16.5" thickBot="1">
      <c r="A61" s="31" t="s">
        <v>8</v>
      </c>
      <c r="B61" s="30">
        <f aca="true" t="shared" si="9" ref="B61:G61">SUM(B56:B60)</f>
        <v>177.36744513741928</v>
      </c>
      <c r="C61" s="30">
        <f t="shared" si="9"/>
        <v>81.54964090000001</v>
      </c>
      <c r="D61" s="30">
        <f t="shared" si="9"/>
        <v>13.5316581</v>
      </c>
      <c r="E61" s="30">
        <f t="shared" si="9"/>
        <v>67.3428370592253</v>
      </c>
      <c r="F61" s="30">
        <f t="shared" si="9"/>
        <v>1.2446986801600004</v>
      </c>
      <c r="G61" s="30">
        <f t="shared" si="9"/>
        <v>21.3777687170981</v>
      </c>
      <c r="H61" s="30">
        <f t="shared" si="8"/>
        <v>362.4140485939027</v>
      </c>
    </row>
    <row r="62" spans="1:10" ht="16.5" thickBot="1">
      <c r="A62" t="s">
        <v>10</v>
      </c>
      <c r="B62" s="29">
        <f aca="true" t="shared" si="10" ref="B62:G62">B53*B$15</f>
        <v>160.22697528442524</v>
      </c>
      <c r="C62" s="29">
        <f t="shared" si="10"/>
        <v>51.85393487642213</v>
      </c>
      <c r="D62" s="29">
        <f t="shared" si="10"/>
        <v>6.2746488819144774</v>
      </c>
      <c r="E62" s="29">
        <f t="shared" si="10"/>
        <v>63.94677128285603</v>
      </c>
      <c r="F62" s="29">
        <f t="shared" si="10"/>
        <v>0.7536596111416243</v>
      </c>
      <c r="G62" s="29">
        <f t="shared" si="10"/>
        <v>18.76966194115339</v>
      </c>
      <c r="H62" s="29">
        <f t="shared" si="8"/>
        <v>301.82565187791295</v>
      </c>
      <c r="I62" s="103">
        <f>B62/H62</f>
        <v>0.5308593695980364</v>
      </c>
      <c r="J62" t="s">
        <v>87</v>
      </c>
    </row>
    <row r="63" spans="1:7" ht="16.5" customHeight="1">
      <c r="A63" s="20" t="s">
        <v>4</v>
      </c>
      <c r="B63" s="21">
        <f aca="true" t="shared" si="11" ref="B63:G63">B62*10</f>
        <v>1602.2697528442523</v>
      </c>
      <c r="C63" s="21">
        <f t="shared" si="11"/>
        <v>518.5393487642214</v>
      </c>
      <c r="D63" s="21">
        <f t="shared" si="11"/>
        <v>62.74648881914477</v>
      </c>
      <c r="E63" s="21">
        <f t="shared" si="11"/>
        <v>639.4677128285603</v>
      </c>
      <c r="F63" s="21">
        <f t="shared" si="11"/>
        <v>7.536596111416243</v>
      </c>
      <c r="G63" s="21">
        <f t="shared" si="11"/>
        <v>187.6966194115339</v>
      </c>
    </row>
    <row r="64" spans="1:8" ht="15.75">
      <c r="A64" t="s">
        <v>9</v>
      </c>
      <c r="B64" s="28">
        <f>B62</f>
        <v>160.22697528442524</v>
      </c>
      <c r="C64" s="102">
        <f>C63*5.5/100</f>
        <v>28.519664182032173</v>
      </c>
      <c r="D64" s="102">
        <f>D63*5.5/100</f>
        <v>3.4510568850529624</v>
      </c>
      <c r="E64" s="102">
        <f>E63*5.5/100</f>
        <v>35.170724205570814</v>
      </c>
      <c r="F64" s="102">
        <f>F63*5.5/100</f>
        <v>0.4145127861278934</v>
      </c>
      <c r="G64" s="28">
        <f>G62</f>
        <v>18.76966194115339</v>
      </c>
      <c r="H64" s="25">
        <f>SUM(B64:G64)</f>
        <v>246.55259528436247</v>
      </c>
    </row>
    <row r="65" spans="8:10" ht="15.75">
      <c r="H65" t="s">
        <v>86</v>
      </c>
      <c r="I65" s="25">
        <f>H64-H62</f>
        <v>-55.27305659355048</v>
      </c>
      <c r="J6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="99" zoomScaleNormal="99" zoomScalePageLayoutView="0" workbookViewId="0" topLeftCell="A16">
      <selection activeCell="G35" sqref="G35"/>
    </sheetView>
  </sheetViews>
  <sheetFormatPr defaultColWidth="11.00390625" defaultRowHeight="15.75"/>
  <cols>
    <col min="1" max="1" width="37.00390625" style="0" customWidth="1"/>
    <col min="3" max="3" width="12.375" style="0" customWidth="1"/>
    <col min="7" max="7" width="16.50390625" style="0" customWidth="1"/>
    <col min="10" max="10" width="36.375" style="0" customWidth="1"/>
    <col min="12" max="12" width="17.50390625" style="0" customWidth="1"/>
  </cols>
  <sheetData>
    <row r="1" ht="18.75">
      <c r="A1" s="101" t="s">
        <v>84</v>
      </c>
    </row>
    <row r="2" ht="18.75">
      <c r="A2" s="100" t="s">
        <v>83</v>
      </c>
    </row>
    <row r="3" ht="18.75">
      <c r="A3" s="100" t="s">
        <v>82</v>
      </c>
    </row>
    <row r="4" spans="1:12" ht="18.75">
      <c r="A4" s="100"/>
      <c r="J4" s="11" t="s">
        <v>81</v>
      </c>
      <c r="K4" s="33">
        <v>2014</v>
      </c>
      <c r="L4" s="33">
        <v>2012</v>
      </c>
    </row>
    <row r="5" spans="1:13" ht="18.75">
      <c r="A5" s="99"/>
      <c r="B5" t="s">
        <v>80</v>
      </c>
      <c r="J5" t="s">
        <v>79</v>
      </c>
      <c r="K5" s="39">
        <v>0.2</v>
      </c>
      <c r="L5" s="47">
        <v>0.196</v>
      </c>
      <c r="M5" t="s">
        <v>78</v>
      </c>
    </row>
    <row r="6" spans="1:12" ht="15.75">
      <c r="A6" s="98"/>
      <c r="J6" t="s">
        <v>77</v>
      </c>
      <c r="K6" s="97">
        <v>0.1</v>
      </c>
      <c r="L6" s="39">
        <v>0.07</v>
      </c>
    </row>
    <row r="7" spans="1:12" ht="51.75" customHeight="1">
      <c r="A7" s="70" t="s">
        <v>60</v>
      </c>
      <c r="B7" s="33" t="s">
        <v>23</v>
      </c>
      <c r="C7" s="34" t="s">
        <v>22</v>
      </c>
      <c r="D7" s="33" t="s">
        <v>21</v>
      </c>
      <c r="E7" s="33" t="s">
        <v>20</v>
      </c>
      <c r="F7" s="33" t="s">
        <v>26</v>
      </c>
      <c r="G7" s="33" t="s">
        <v>59</v>
      </c>
      <c r="H7" s="33"/>
      <c r="I7" s="33"/>
      <c r="J7" s="119" t="s">
        <v>74</v>
      </c>
      <c r="K7" s="33">
        <v>2014</v>
      </c>
      <c r="L7" s="33">
        <v>2012</v>
      </c>
    </row>
    <row r="8" spans="1:12" s="20" customFormat="1" ht="18" customHeight="1">
      <c r="A8" s="75" t="s">
        <v>92</v>
      </c>
      <c r="B8" s="117">
        <v>17.42</v>
      </c>
      <c r="C8" s="118">
        <v>3.14</v>
      </c>
      <c r="D8" s="117">
        <v>1.94</v>
      </c>
      <c r="E8" s="117">
        <v>13.5</v>
      </c>
      <c r="F8" s="116">
        <f>G8-SUM(B8:E8)</f>
        <v>1.8999999999999986</v>
      </c>
      <c r="G8" s="72">
        <v>37.9</v>
      </c>
      <c r="H8" s="72">
        <f>B8/G8</f>
        <v>0.4596306068601584</v>
      </c>
      <c r="I8" s="72"/>
      <c r="J8" s="96"/>
      <c r="K8" s="72"/>
      <c r="L8" s="72"/>
    </row>
    <row r="9" spans="1:12" ht="15.75">
      <c r="A9" t="s">
        <v>15</v>
      </c>
      <c r="B9" s="66">
        <v>0.08</v>
      </c>
      <c r="C9" s="66">
        <v>0.09</v>
      </c>
      <c r="D9" s="66">
        <v>0.14</v>
      </c>
      <c r="E9" s="66">
        <v>0.08</v>
      </c>
      <c r="F9" s="38"/>
      <c r="G9" s="66">
        <v>0.09</v>
      </c>
      <c r="J9" t="s">
        <v>72</v>
      </c>
      <c r="K9" s="93">
        <v>7647</v>
      </c>
      <c r="L9" s="93">
        <v>7299</v>
      </c>
    </row>
    <row r="10" spans="1:12" ht="15.75">
      <c r="A10" t="s">
        <v>14</v>
      </c>
      <c r="B10" s="66">
        <v>0.01</v>
      </c>
      <c r="C10" s="66">
        <v>0.01</v>
      </c>
      <c r="D10" s="66">
        <v>0.02</v>
      </c>
      <c r="E10" s="66">
        <v>0.01</v>
      </c>
      <c r="F10" s="38"/>
      <c r="G10" s="66">
        <v>0.01</v>
      </c>
      <c r="J10" t="s">
        <v>70</v>
      </c>
      <c r="K10" s="93">
        <v>7181</v>
      </c>
      <c r="L10" s="93">
        <v>6808</v>
      </c>
    </row>
    <row r="11" spans="1:12" ht="15.75">
      <c r="A11" t="s">
        <v>13</v>
      </c>
      <c r="B11" s="66">
        <v>0.46</v>
      </c>
      <c r="C11" s="66">
        <v>0.51</v>
      </c>
      <c r="D11" s="66">
        <v>0.84</v>
      </c>
      <c r="E11" s="67">
        <v>0.32</v>
      </c>
      <c r="F11" s="38"/>
      <c r="G11" s="66">
        <v>0.45</v>
      </c>
      <c r="J11" t="s">
        <v>50</v>
      </c>
      <c r="K11" s="93">
        <v>6371</v>
      </c>
      <c r="L11" s="93">
        <v>6063</v>
      </c>
    </row>
    <row r="12" spans="1:12" ht="15.75">
      <c r="A12" t="s">
        <v>12</v>
      </c>
      <c r="B12" s="66">
        <v>0.04</v>
      </c>
      <c r="C12" s="66">
        <v>0.03</v>
      </c>
      <c r="D12" s="66"/>
      <c r="E12" s="66">
        <v>0.21</v>
      </c>
      <c r="F12" s="38"/>
      <c r="G12" s="66">
        <v>0.08</v>
      </c>
      <c r="J12" t="s">
        <v>67</v>
      </c>
      <c r="K12" s="93">
        <v>6731</v>
      </c>
      <c r="L12" s="93">
        <v>6339</v>
      </c>
    </row>
    <row r="13" spans="1:13" ht="15.75">
      <c r="A13" t="s">
        <v>11</v>
      </c>
      <c r="B13" s="66">
        <v>0.41</v>
      </c>
      <c r="C13" s="66">
        <v>0.36</v>
      </c>
      <c r="D13" s="66">
        <v>0</v>
      </c>
      <c r="E13" s="67">
        <v>0.38</v>
      </c>
      <c r="F13" s="38"/>
      <c r="G13" s="66">
        <v>0.37</v>
      </c>
      <c r="J13" s="11" t="s">
        <v>66</v>
      </c>
      <c r="K13" s="33">
        <f>K12-K11</f>
        <v>360</v>
      </c>
      <c r="L13" s="33">
        <f>L12-L11</f>
        <v>276</v>
      </c>
      <c r="M13" s="87" t="s">
        <v>65</v>
      </c>
    </row>
    <row r="14" spans="2:12" ht="15.75">
      <c r="B14" s="32">
        <f aca="true" t="shared" si="0" ref="B14:G14">SUM(B9:B13)</f>
        <v>1</v>
      </c>
      <c r="C14" s="32">
        <f t="shared" si="0"/>
        <v>1</v>
      </c>
      <c r="D14" s="32">
        <f t="shared" si="0"/>
        <v>1</v>
      </c>
      <c r="E14" s="32">
        <f t="shared" si="0"/>
        <v>1</v>
      </c>
      <c r="F14" s="32">
        <f t="shared" si="0"/>
        <v>0</v>
      </c>
      <c r="G14" s="32">
        <f t="shared" si="0"/>
        <v>1</v>
      </c>
      <c r="K14" s="21">
        <f>K13*1000000/K17</f>
        <v>5.319733228717143</v>
      </c>
      <c r="L14" s="39">
        <f>(K13-L13)/L13</f>
        <v>0.30434782608695654</v>
      </c>
    </row>
    <row r="15" ht="15.75">
      <c r="B15" s="11"/>
    </row>
    <row r="16" spans="1:9" ht="15.75">
      <c r="A16" s="11" t="s">
        <v>107</v>
      </c>
      <c r="B16" s="33" t="s">
        <v>23</v>
      </c>
      <c r="C16" s="33" t="s">
        <v>22</v>
      </c>
      <c r="D16" s="33" t="s">
        <v>21</v>
      </c>
      <c r="E16" s="33" t="s">
        <v>20</v>
      </c>
      <c r="F16" s="33" t="s">
        <v>26</v>
      </c>
      <c r="G16" s="33" t="s">
        <v>17</v>
      </c>
      <c r="H16" s="33" t="s">
        <v>56</v>
      </c>
      <c r="I16" s="33"/>
    </row>
    <row r="17" spans="1:13" ht="15.75">
      <c r="A17" t="s">
        <v>15</v>
      </c>
      <c r="B17" s="62">
        <f>B9*$B$22</f>
        <v>4.72</v>
      </c>
      <c r="C17" s="62">
        <f aca="true" t="shared" si="1" ref="C17:E21">C9*C$22</f>
        <v>1.89</v>
      </c>
      <c r="D17" s="62">
        <f t="shared" si="1"/>
        <v>0.37800000000000006</v>
      </c>
      <c r="E17" s="62">
        <f t="shared" si="1"/>
        <v>1.76</v>
      </c>
      <c r="F17" s="115"/>
      <c r="J17" t="s">
        <v>58</v>
      </c>
      <c r="K17" s="69">
        <f>K9*1000000/G22</f>
        <v>67672566.37168142</v>
      </c>
      <c r="L17" t="s">
        <v>54</v>
      </c>
      <c r="M17">
        <f>(10-5.5)/10</f>
        <v>0.45</v>
      </c>
    </row>
    <row r="18" spans="1:6" ht="15.75">
      <c r="A18" t="s">
        <v>14</v>
      </c>
      <c r="B18" s="62">
        <f>B10*$B$22</f>
        <v>0.59</v>
      </c>
      <c r="C18" s="62">
        <f t="shared" si="1"/>
        <v>0.21</v>
      </c>
      <c r="D18" s="62">
        <f t="shared" si="1"/>
        <v>0.054000000000000006</v>
      </c>
      <c r="E18" s="62">
        <f t="shared" si="1"/>
        <v>0.22</v>
      </c>
      <c r="F18" s="115"/>
    </row>
    <row r="19" spans="1:13" ht="15.75">
      <c r="A19" t="s">
        <v>13</v>
      </c>
      <c r="B19" s="62">
        <f>B11*$B$22</f>
        <v>27.14</v>
      </c>
      <c r="C19" s="62">
        <f t="shared" si="1"/>
        <v>10.71</v>
      </c>
      <c r="D19" s="62">
        <f t="shared" si="1"/>
        <v>2.2680000000000002</v>
      </c>
      <c r="E19" s="62">
        <f t="shared" si="1"/>
        <v>7.04</v>
      </c>
      <c r="F19" s="115"/>
      <c r="J19" s="27" t="s">
        <v>106</v>
      </c>
      <c r="K19">
        <f>K13*0.8*0.48</f>
        <v>138.24</v>
      </c>
      <c r="L19">
        <f>K19*M17</f>
        <v>62.208000000000006</v>
      </c>
      <c r="M19">
        <f>K19-L19</f>
        <v>76.03200000000001</v>
      </c>
    </row>
    <row r="20" spans="1:6" ht="15.75">
      <c r="A20" t="s">
        <v>12</v>
      </c>
      <c r="B20" s="62">
        <f>B12*$B$22</f>
        <v>2.36</v>
      </c>
      <c r="C20" s="62">
        <f t="shared" si="1"/>
        <v>0.63</v>
      </c>
      <c r="D20" s="62">
        <f t="shared" si="1"/>
        <v>0</v>
      </c>
      <c r="E20" s="62">
        <f t="shared" si="1"/>
        <v>4.62</v>
      </c>
      <c r="F20" s="115"/>
    </row>
    <row r="21" spans="1:12" ht="15.75">
      <c r="A21" t="s">
        <v>11</v>
      </c>
      <c r="B21" s="62">
        <f>B13*$B$22</f>
        <v>24.189999999999998</v>
      </c>
      <c r="C21" s="62">
        <f t="shared" si="1"/>
        <v>7.56</v>
      </c>
      <c r="D21" s="62">
        <f t="shared" si="1"/>
        <v>0</v>
      </c>
      <c r="E21" s="62">
        <f t="shared" si="1"/>
        <v>8.36</v>
      </c>
      <c r="F21" s="115"/>
      <c r="G21" s="23">
        <f>B22/G22</f>
        <v>0.5221238938053098</v>
      </c>
      <c r="K21">
        <f>K19/2</f>
        <v>69.12</v>
      </c>
      <c r="L21" t="s">
        <v>105</v>
      </c>
    </row>
    <row r="22" spans="1:9" ht="15.75">
      <c r="A22" t="s">
        <v>53</v>
      </c>
      <c r="B22" s="57">
        <v>59</v>
      </c>
      <c r="C22" s="57">
        <v>21</v>
      </c>
      <c r="D22" s="57">
        <v>2.7</v>
      </c>
      <c r="E22" s="57">
        <v>22</v>
      </c>
      <c r="F22" s="114">
        <f>G22-SUM(B22:E22)</f>
        <v>8.299999999999997</v>
      </c>
      <c r="G22" s="57">
        <v>113</v>
      </c>
      <c r="H22" s="57">
        <v>108</v>
      </c>
      <c r="I22" s="113">
        <f>(G22-H22)/H22</f>
        <v>0.046296296296296294</v>
      </c>
    </row>
    <row r="23" spans="1:9" ht="15.75">
      <c r="A23" t="s">
        <v>52</v>
      </c>
      <c r="B23" s="57">
        <v>58</v>
      </c>
      <c r="C23" s="57">
        <v>17</v>
      </c>
      <c r="D23" s="57">
        <v>2</v>
      </c>
      <c r="E23" s="57">
        <v>21</v>
      </c>
      <c r="F23" s="114">
        <f>G23-SUM(B23:E23)</f>
        <v>8</v>
      </c>
      <c r="G23" s="57">
        <v>106</v>
      </c>
      <c r="H23" s="57">
        <v>101</v>
      </c>
      <c r="I23" s="23"/>
    </row>
    <row r="24" spans="1:8" ht="15.75">
      <c r="A24" t="s">
        <v>51</v>
      </c>
      <c r="B24" s="57">
        <v>57</v>
      </c>
      <c r="C24" s="57">
        <v>9</v>
      </c>
      <c r="D24" s="57">
        <v>1.8</v>
      </c>
      <c r="E24" s="57">
        <v>20</v>
      </c>
      <c r="F24" s="114">
        <f>G24-SUM(B24:E24)</f>
        <v>7.200000000000003</v>
      </c>
      <c r="G24" s="57">
        <v>95</v>
      </c>
      <c r="H24" s="57">
        <v>91</v>
      </c>
    </row>
    <row r="25" spans="1:11" ht="15.75">
      <c r="A25" t="s">
        <v>50</v>
      </c>
      <c r="B25" s="57">
        <v>56</v>
      </c>
      <c r="C25" s="57">
        <v>9</v>
      </c>
      <c r="D25" s="57">
        <v>1.7</v>
      </c>
      <c r="E25" s="57">
        <v>20</v>
      </c>
      <c r="F25" s="114">
        <f>G25-SUM(B25:E25)</f>
        <v>6.299999999999997</v>
      </c>
      <c r="G25" s="57">
        <v>93</v>
      </c>
      <c r="H25" s="57">
        <v>89</v>
      </c>
      <c r="I25" s="57">
        <v>85</v>
      </c>
      <c r="K25">
        <f>70*1.14</f>
        <v>79.8</v>
      </c>
    </row>
    <row r="26" spans="7:9" ht="15.75">
      <c r="G26" s="113">
        <f>(G25-H25)/H25</f>
        <v>0.0449438202247191</v>
      </c>
      <c r="I26" s="40">
        <f>1+K6</f>
        <v>1.1</v>
      </c>
    </row>
    <row r="27" spans="1:7" ht="15.75">
      <c r="A27" s="11" t="s">
        <v>49</v>
      </c>
      <c r="B27" s="33" t="s">
        <v>23</v>
      </c>
      <c r="C27" s="33" t="s">
        <v>22</v>
      </c>
      <c r="D27" s="33" t="s">
        <v>21</v>
      </c>
      <c r="E27" s="33" t="s">
        <v>20</v>
      </c>
      <c r="F27" s="33" t="s">
        <v>26</v>
      </c>
      <c r="G27" s="33" t="s">
        <v>17</v>
      </c>
    </row>
    <row r="28" spans="1:10" ht="15.75">
      <c r="A28" t="s">
        <v>15</v>
      </c>
      <c r="B28" s="52">
        <v>0.04</v>
      </c>
      <c r="C28" s="52">
        <v>0.1</v>
      </c>
      <c r="D28" s="52">
        <v>0.04</v>
      </c>
      <c r="E28" s="52">
        <v>0.02</v>
      </c>
      <c r="F28" s="112"/>
      <c r="J28" t="s">
        <v>48</v>
      </c>
    </row>
    <row r="29" spans="1:6" ht="15.75">
      <c r="A29" t="s">
        <v>14</v>
      </c>
      <c r="B29" s="52">
        <v>0.01</v>
      </c>
      <c r="C29" s="52">
        <v>0.01</v>
      </c>
      <c r="D29" s="52">
        <v>0.01</v>
      </c>
      <c r="E29" s="52">
        <v>0.01</v>
      </c>
      <c r="F29" s="112"/>
    </row>
    <row r="30" spans="1:10" ht="15.75">
      <c r="A30" t="s">
        <v>13</v>
      </c>
      <c r="B30" s="56">
        <v>0.66</v>
      </c>
      <c r="C30" s="52">
        <f>B30</f>
        <v>0.66</v>
      </c>
      <c r="D30" s="52">
        <v>0.96</v>
      </c>
      <c r="E30" s="52">
        <v>0.41</v>
      </c>
      <c r="F30" s="112"/>
      <c r="J30" t="s">
        <v>47</v>
      </c>
    </row>
    <row r="31" spans="1:6" ht="15.75">
      <c r="A31" t="s">
        <v>12</v>
      </c>
      <c r="B31" s="55">
        <f>B30</f>
        <v>0.66</v>
      </c>
      <c r="C31" s="54">
        <f>B31</f>
        <v>0.66</v>
      </c>
      <c r="D31" s="54">
        <f>D30</f>
        <v>0.96</v>
      </c>
      <c r="E31" s="50">
        <f>E30</f>
        <v>0.41</v>
      </c>
      <c r="F31" s="112"/>
    </row>
    <row r="32" spans="1:13" ht="33.75">
      <c r="A32" t="s">
        <v>11</v>
      </c>
      <c r="B32" s="53">
        <f>K37</f>
        <v>0.20392065125853842</v>
      </c>
      <c r="C32" s="51">
        <v>0.63</v>
      </c>
      <c r="D32" s="52">
        <v>1</v>
      </c>
      <c r="E32" s="51">
        <f>M48</f>
        <v>0.4674200300061451</v>
      </c>
      <c r="F32" s="112"/>
      <c r="J32" s="11" t="s">
        <v>104</v>
      </c>
      <c r="L32" s="34" t="s">
        <v>45</v>
      </c>
      <c r="M32" t="s">
        <v>44</v>
      </c>
    </row>
    <row r="33" spans="2:14" ht="15.75">
      <c r="B33" s="39"/>
      <c r="C33" s="48" t="s">
        <v>41</v>
      </c>
      <c r="D33" s="39"/>
      <c r="E33" s="39"/>
      <c r="F33" s="38"/>
      <c r="J33" t="s">
        <v>42</v>
      </c>
      <c r="K33" s="39">
        <v>0.63</v>
      </c>
      <c r="L33" s="47">
        <v>0.05</v>
      </c>
      <c r="M33">
        <v>114</v>
      </c>
      <c r="N33" t="s">
        <v>89</v>
      </c>
    </row>
    <row r="34" spans="10:14" ht="15.75">
      <c r="J34" t="s">
        <v>7</v>
      </c>
      <c r="K34" s="39">
        <v>0.275</v>
      </c>
      <c r="L34" s="47">
        <v>0.76</v>
      </c>
      <c r="M34">
        <v>86</v>
      </c>
      <c r="N34" t="s">
        <v>89</v>
      </c>
    </row>
    <row r="35" spans="1:13" ht="15.75">
      <c r="A35" s="11" t="s">
        <v>103</v>
      </c>
      <c r="B35" s="33" t="s">
        <v>23</v>
      </c>
      <c r="C35" s="33" t="s">
        <v>22</v>
      </c>
      <c r="D35" s="33" t="s">
        <v>21</v>
      </c>
      <c r="E35" s="33" t="s">
        <v>20</v>
      </c>
      <c r="F35" s="33" t="s">
        <v>26</v>
      </c>
      <c r="G35" s="33" t="s">
        <v>17</v>
      </c>
      <c r="J35" t="s">
        <v>40</v>
      </c>
      <c r="K35" s="47">
        <f>1-(K33+K34)</f>
        <v>0.09499999999999997</v>
      </c>
      <c r="L35" s="39">
        <v>0.02</v>
      </c>
      <c r="M35" s="24">
        <v>120</v>
      </c>
    </row>
    <row r="36" spans="1:12" ht="15.75">
      <c r="A36" t="s">
        <v>15</v>
      </c>
      <c r="B36" s="28">
        <f aca="true" t="shared" si="2" ref="B36:E40">(B28)*B17*(1+$K$6)*$K$6</f>
        <v>0.020768000000000002</v>
      </c>
      <c r="C36" s="28">
        <f t="shared" si="2"/>
        <v>0.020790000000000003</v>
      </c>
      <c r="D36" s="28">
        <f t="shared" si="2"/>
        <v>0.0016632000000000005</v>
      </c>
      <c r="E36" s="28">
        <f t="shared" si="2"/>
        <v>0.0038720000000000004</v>
      </c>
      <c r="F36" s="10"/>
      <c r="K36" s="111">
        <f>K33*L33+L34*K34+L35*K35</f>
        <v>0.24240000000000003</v>
      </c>
      <c r="L36" t="s">
        <v>38</v>
      </c>
    </row>
    <row r="37" spans="1:12" ht="15.75">
      <c r="A37" t="s">
        <v>14</v>
      </c>
      <c r="B37" s="28">
        <f t="shared" si="2"/>
        <v>0.0006490000000000001</v>
      </c>
      <c r="C37" s="28">
        <f t="shared" si="2"/>
        <v>0.000231</v>
      </c>
      <c r="D37" s="28">
        <f t="shared" si="2"/>
        <v>5.9400000000000014E-05</v>
      </c>
      <c r="E37" s="28">
        <f t="shared" si="2"/>
        <v>0.00024200000000000003</v>
      </c>
      <c r="F37" s="10"/>
      <c r="J37" t="s">
        <v>39</v>
      </c>
      <c r="K37" s="46">
        <f>(K33*L33*M33+K34*L34*M34+K35*L35*M35)/(K33*M33+K34*M34+K35*M35)</f>
        <v>0.20392065125853842</v>
      </c>
      <c r="L37" t="s">
        <v>102</v>
      </c>
    </row>
    <row r="38" spans="1:6" ht="15.75">
      <c r="A38" t="s">
        <v>13</v>
      </c>
      <c r="B38" s="28">
        <f t="shared" si="2"/>
        <v>1.9703640000000004</v>
      </c>
      <c r="C38" s="28">
        <f t="shared" si="2"/>
        <v>0.7775460000000002</v>
      </c>
      <c r="D38" s="28">
        <f t="shared" si="2"/>
        <v>0.23950080000000004</v>
      </c>
      <c r="E38" s="28">
        <f t="shared" si="2"/>
        <v>0.317504</v>
      </c>
      <c r="F38" s="10"/>
    </row>
    <row r="39" spans="1:13" ht="15.75">
      <c r="A39" t="s">
        <v>12</v>
      </c>
      <c r="B39" s="28">
        <f t="shared" si="2"/>
        <v>0.17133600000000004</v>
      </c>
      <c r="C39" s="28">
        <f t="shared" si="2"/>
        <v>0.04573800000000001</v>
      </c>
      <c r="D39" s="28">
        <f t="shared" si="2"/>
        <v>0</v>
      </c>
      <c r="E39" s="28">
        <f t="shared" si="2"/>
        <v>0.20836200000000005</v>
      </c>
      <c r="F39" s="10"/>
      <c r="J39" t="s">
        <v>37</v>
      </c>
      <c r="L39" t="s">
        <v>36</v>
      </c>
      <c r="M39" t="s">
        <v>35</v>
      </c>
    </row>
    <row r="40" spans="1:13" ht="15.75">
      <c r="A40" t="s">
        <v>11</v>
      </c>
      <c r="B40" s="28">
        <f t="shared" si="2"/>
        <v>0.5426124609338449</v>
      </c>
      <c r="C40" s="28">
        <f t="shared" si="2"/>
        <v>0.5239079999999999</v>
      </c>
      <c r="D40" s="28">
        <f t="shared" si="2"/>
        <v>0</v>
      </c>
      <c r="E40" s="28">
        <f t="shared" si="2"/>
        <v>0.4298394595936511</v>
      </c>
      <c r="F40" s="10"/>
      <c r="J40" t="s">
        <v>34</v>
      </c>
      <c r="K40" s="39">
        <v>0.267</v>
      </c>
      <c r="L40" s="38">
        <v>0.99</v>
      </c>
      <c r="M40" s="40">
        <v>6.5</v>
      </c>
    </row>
    <row r="41" spans="1:13" s="31" customFormat="1" ht="15.75">
      <c r="A41" s="31" t="s">
        <v>8</v>
      </c>
      <c r="B41" s="43">
        <f>SUM(B36:B40)</f>
        <v>2.7057294609338456</v>
      </c>
      <c r="C41" s="43">
        <f>SUM(C36:C40)</f>
        <v>1.3682130000000001</v>
      </c>
      <c r="D41" s="43">
        <f>SUM(D36:D40)</f>
        <v>0.24122340000000003</v>
      </c>
      <c r="E41" s="43">
        <f>SUM(E36:E40)</f>
        <v>0.9598194595936512</v>
      </c>
      <c r="F41" s="30"/>
      <c r="J41" t="s">
        <v>33</v>
      </c>
      <c r="K41" s="39">
        <v>0.297</v>
      </c>
      <c r="L41" s="38">
        <v>0.71</v>
      </c>
      <c r="M41" s="40">
        <v>39</v>
      </c>
    </row>
    <row r="42" spans="2:13" ht="15.75">
      <c r="B42" s="42">
        <f>B41/B22</f>
        <v>0.0458598213717601</v>
      </c>
      <c r="C42" s="42">
        <f>C41/C22</f>
        <v>0.065153</v>
      </c>
      <c r="D42" s="42">
        <f>D41/D22</f>
        <v>0.089342</v>
      </c>
      <c r="E42" s="42">
        <f>E41/E22</f>
        <v>0.04362815725425687</v>
      </c>
      <c r="F42" s="42">
        <f>F41/F22</f>
        <v>0</v>
      </c>
      <c r="J42" t="s">
        <v>32</v>
      </c>
      <c r="K42" s="39">
        <v>0.247</v>
      </c>
      <c r="L42" s="45">
        <f>B32</f>
        <v>0.20392065125853842</v>
      </c>
      <c r="M42" s="40">
        <v>92</v>
      </c>
    </row>
    <row r="43" spans="4:14" ht="15.75">
      <c r="D43" s="42"/>
      <c r="J43" t="s">
        <v>31</v>
      </c>
      <c r="K43" s="39">
        <v>0.15</v>
      </c>
      <c r="L43" s="38">
        <f>C32</f>
        <v>0.63</v>
      </c>
      <c r="M43" s="19">
        <v>25</v>
      </c>
      <c r="N43" t="s">
        <v>30</v>
      </c>
    </row>
    <row r="44" spans="1:13" ht="15.75">
      <c r="A44" s="11" t="s">
        <v>24</v>
      </c>
      <c r="B44" s="33" t="s">
        <v>23</v>
      </c>
      <c r="C44" s="33" t="s">
        <v>22</v>
      </c>
      <c r="D44" s="33" t="s">
        <v>21</v>
      </c>
      <c r="E44" s="33" t="s">
        <v>20</v>
      </c>
      <c r="F44" s="33" t="s">
        <v>26</v>
      </c>
      <c r="G44" s="33" t="s">
        <v>17</v>
      </c>
      <c r="J44" t="s">
        <v>29</v>
      </c>
      <c r="K44" s="39">
        <v>0.024</v>
      </c>
      <c r="L44" s="38">
        <v>1</v>
      </c>
      <c r="M44" s="19">
        <v>0</v>
      </c>
    </row>
    <row r="45" spans="1:14" ht="15.75">
      <c r="A45" t="s">
        <v>15</v>
      </c>
      <c r="B45" s="10">
        <f aca="true" t="shared" si="3" ref="B45:E49">B36*$K$17/1000000</f>
        <v>1.40542385840708</v>
      </c>
      <c r="C45" s="10">
        <f t="shared" si="3"/>
        <v>1.406912654867257</v>
      </c>
      <c r="D45" s="10">
        <f t="shared" si="3"/>
        <v>0.11255301238938058</v>
      </c>
      <c r="E45" s="10">
        <f t="shared" si="3"/>
        <v>0.2620281769911505</v>
      </c>
      <c r="F45" s="10"/>
      <c r="J45" t="s">
        <v>28</v>
      </c>
      <c r="K45" s="41">
        <v>0.004</v>
      </c>
      <c r="L45" s="38">
        <v>1</v>
      </c>
      <c r="M45" s="40">
        <v>723</v>
      </c>
      <c r="N45" t="s">
        <v>27</v>
      </c>
    </row>
    <row r="46" spans="1:13" ht="15.75">
      <c r="A46" t="s">
        <v>14</v>
      </c>
      <c r="B46" s="28">
        <f t="shared" si="3"/>
        <v>0.04391949557522125</v>
      </c>
      <c r="C46" s="28">
        <f t="shared" si="3"/>
        <v>0.01563236283185841</v>
      </c>
      <c r="D46" s="28">
        <f t="shared" si="3"/>
        <v>0.004019750442477878</v>
      </c>
      <c r="E46" s="28">
        <f t="shared" si="3"/>
        <v>0.016376761061946906</v>
      </c>
      <c r="F46" s="10"/>
      <c r="J46" t="s">
        <v>26</v>
      </c>
      <c r="K46" s="39">
        <v>0.007</v>
      </c>
      <c r="L46" s="38">
        <v>0.9</v>
      </c>
      <c r="M46" s="19">
        <v>40</v>
      </c>
    </row>
    <row r="47" spans="1:11" ht="15.75">
      <c r="A47" t="s">
        <v>13</v>
      </c>
      <c r="B47" s="10">
        <f t="shared" si="3"/>
        <v>133.33958856637173</v>
      </c>
      <c r="C47" s="10">
        <f t="shared" si="3"/>
        <v>52.618533292035416</v>
      </c>
      <c r="D47" s="10">
        <f t="shared" si="3"/>
        <v>16.2076337840708</v>
      </c>
      <c r="E47" s="10">
        <f t="shared" si="3"/>
        <v>21.486310513274336</v>
      </c>
      <c r="F47" s="10"/>
      <c r="K47" s="35">
        <f>SUM(K40:K46)</f>
        <v>0.9960000000000001</v>
      </c>
    </row>
    <row r="48" spans="1:13" ht="15.75">
      <c r="A48" t="s">
        <v>12</v>
      </c>
      <c r="B48" s="10">
        <f t="shared" si="3"/>
        <v>11.594746831858412</v>
      </c>
      <c r="C48" s="10">
        <f t="shared" si="3"/>
        <v>3.0952078407079653</v>
      </c>
      <c r="D48" s="10">
        <f t="shared" si="3"/>
        <v>0</v>
      </c>
      <c r="E48" s="10">
        <f t="shared" si="3"/>
        <v>14.100391274336287</v>
      </c>
      <c r="F48" s="10"/>
      <c r="J48" s="11" t="s">
        <v>25</v>
      </c>
      <c r="K48" s="11"/>
      <c r="L48" s="26" t="s">
        <v>16</v>
      </c>
      <c r="M48" s="32">
        <f>(K40*L40*M40+K41*L41*M41+K42*L42*M42+K43*L43*M43+K44*L44*M44+K45*L45*M45+K46*L46*M46)/(K40*M40+K41*M41+K42*M42+K43*M43+K45*M45+K46*M46)</f>
        <v>0.4674200300061451</v>
      </c>
    </row>
    <row r="49" spans="1:6" ht="16.5" thickBot="1">
      <c r="A49" t="s">
        <v>11</v>
      </c>
      <c r="B49" s="10">
        <f t="shared" si="3"/>
        <v>36.719977776647006</v>
      </c>
      <c r="C49" s="10">
        <f t="shared" si="3"/>
        <v>35.454198902654866</v>
      </c>
      <c r="D49" s="10">
        <f t="shared" si="3"/>
        <v>0</v>
      </c>
      <c r="E49" s="10">
        <f t="shared" si="3"/>
        <v>29.08833935851903</v>
      </c>
      <c r="F49" s="10"/>
    </row>
    <row r="50" spans="1:9" ht="16.5" thickBot="1">
      <c r="A50" s="11" t="s">
        <v>8</v>
      </c>
      <c r="B50" s="25">
        <f>SUM(B45:B49)</f>
        <v>183.10365652885943</v>
      </c>
      <c r="C50" s="25">
        <f>SUM(C45:C49)</f>
        <v>92.59048505309735</v>
      </c>
      <c r="D50" s="25">
        <f>SUM(D45:D49)</f>
        <v>16.32420654690266</v>
      </c>
      <c r="E50" s="25">
        <f>SUM(E45:E49)</f>
        <v>64.95344608418276</v>
      </c>
      <c r="F50" s="25">
        <f>SUM(F45:F49)</f>
        <v>0</v>
      </c>
      <c r="G50" s="25">
        <f>SUM(B50:F50)</f>
        <v>356.9717942130422</v>
      </c>
      <c r="H50" s="103">
        <f>B50/G50</f>
        <v>0.5129359223815382</v>
      </c>
      <c r="I50" t="s">
        <v>101</v>
      </c>
    </row>
    <row r="51" ht="16.5" thickBot="1"/>
    <row r="52" spans="10:16" ht="25.5" customHeight="1" thickBot="1">
      <c r="J52" s="110" t="s">
        <v>100</v>
      </c>
      <c r="K52" s="138" t="s">
        <v>99</v>
      </c>
      <c r="L52" s="139"/>
      <c r="M52" s="140" t="s">
        <v>98</v>
      </c>
      <c r="N52" s="139"/>
      <c r="O52" s="140" t="s">
        <v>97</v>
      </c>
      <c r="P52" s="139"/>
    </row>
    <row r="53" spans="10:16" ht="16.5" thickBot="1">
      <c r="J53" s="109" t="s">
        <v>96</v>
      </c>
      <c r="K53" s="108">
        <v>2012</v>
      </c>
      <c r="L53" s="108">
        <v>2014</v>
      </c>
      <c r="M53" s="108">
        <v>2012</v>
      </c>
      <c r="N53" s="108">
        <v>2014</v>
      </c>
      <c r="O53" s="108">
        <v>2012</v>
      </c>
      <c r="P53" s="108">
        <v>2014</v>
      </c>
    </row>
    <row r="54" spans="10:16" ht="16.5" thickBot="1">
      <c r="J54" s="107" t="s">
        <v>95</v>
      </c>
      <c r="K54" s="105">
        <v>325</v>
      </c>
      <c r="L54" s="105">
        <v>330</v>
      </c>
      <c r="M54" s="106">
        <v>0.42</v>
      </c>
      <c r="N54" s="106">
        <v>0.46</v>
      </c>
      <c r="O54" s="105">
        <v>136</v>
      </c>
      <c r="P54" s="105">
        <v>152</v>
      </c>
    </row>
    <row r="55" spans="10:16" ht="16.5" thickBot="1">
      <c r="J55" s="107" t="s">
        <v>94</v>
      </c>
      <c r="K55" s="105">
        <v>55</v>
      </c>
      <c r="L55" s="105">
        <v>65</v>
      </c>
      <c r="M55" s="106">
        <v>0.85</v>
      </c>
      <c r="N55" s="106">
        <v>0.84</v>
      </c>
      <c r="O55" s="105">
        <v>47</v>
      </c>
      <c r="P55" s="105">
        <v>54</v>
      </c>
    </row>
    <row r="56" spans="10:16" ht="16.5" thickBot="1">
      <c r="J56" s="107" t="s">
        <v>93</v>
      </c>
      <c r="K56" s="105">
        <v>380</v>
      </c>
      <c r="L56" s="105">
        <v>393.9</v>
      </c>
      <c r="M56" s="106">
        <v>0.48</v>
      </c>
      <c r="N56" s="106">
        <v>0.52</v>
      </c>
      <c r="O56" s="105">
        <v>183</v>
      </c>
      <c r="P56" s="105">
        <v>206</v>
      </c>
    </row>
  </sheetData>
  <sheetProtection/>
  <mergeCells count="3">
    <mergeCell ref="K52:L52"/>
    <mergeCell ref="M52:N52"/>
    <mergeCell ref="O52:P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" sqref="F4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MAZABRARD</dc:creator>
  <cp:keywords/>
  <dc:description/>
  <cp:lastModifiedBy>Microsoft Office User</cp:lastModifiedBy>
  <cp:lastPrinted>2018-05-16T15:28:33Z</cp:lastPrinted>
  <dcterms:created xsi:type="dcterms:W3CDTF">2017-10-09T16:34:44Z</dcterms:created>
  <dcterms:modified xsi:type="dcterms:W3CDTF">2020-01-22T19:08:40Z</dcterms:modified>
  <cp:category/>
  <cp:version/>
  <cp:contentType/>
  <cp:contentStatus/>
</cp:coreProperties>
</file>